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380" yWindow="765" windowWidth="14040" windowHeight="9465"/>
  </bookViews>
  <sheets>
    <sheet name="without thaumasite" sheetId="1" r:id="rId1"/>
    <sheet name="with thaumasite" sheetId="2" r:id="rId2"/>
  </sheets>
  <externalReferences>
    <externalReference r:id="rId3"/>
  </externalReferences>
  <definedNames>
    <definedName name="_1__123Graph_ADIAGRAM_1" hidden="1">[1]CC0MS!$D$70:$AB$70</definedName>
    <definedName name="_10__123Graph_EDIAGRAM_2" hidden="1">[1]cement!$D$77:$AN$77</definedName>
    <definedName name="_11__123Graph_FDIAGRAM_1" hidden="1">[1]CC0MS!$D$75:$AB$75</definedName>
    <definedName name="_12__123Graph_FDIAGRAM_2" hidden="1">[1]cement!$D$76:$AN$76</definedName>
    <definedName name="_13__123Graph_XDIAGRAM_1" hidden="1">[1]CC0MS!$D$55:$AB$55</definedName>
    <definedName name="_2__123Graph_ADIAGRAM_2" hidden="1">[1]cement!$D$75:$AN$75</definedName>
    <definedName name="_3__123Graph_BDIAGRAM_1" localSheetId="1" hidden="1">[1]CC0MS!#REF!</definedName>
    <definedName name="_3__123Graph_BDIAGRAM_1" localSheetId="0" hidden="1">[1]CC0MS!#REF!</definedName>
    <definedName name="_3__123Graph_BDIAGRAM_1" hidden="1">[1]CC0MS!#REF!</definedName>
    <definedName name="_4__123Graph_BDIAGRAM_2" hidden="1">[1]cement!$D$81:$AN$81</definedName>
    <definedName name="_5__123Graph_CDIAGRAM_1" hidden="1">[1]CC0MS!$D$76:$AB$76</definedName>
    <definedName name="_6__123Graph_CDIAGRAM_2" hidden="1">[1]cement!$D$79:$AN$79</definedName>
    <definedName name="_7__123Graph_DDIAGRAM_1" hidden="1">[1]CC0MS!$D$77:$AB$77</definedName>
    <definedName name="_8__123Graph_DDIAGRAM_2" hidden="1">[1]cement!$D$78:$AN$78</definedName>
    <definedName name="_9__123Graph_EDIAGRAM_1" hidden="1">[1]CC0MS!$D$74:$AB$74</definedName>
    <definedName name="_MatInverse_In" hidden="1">[1]CC0MS!$D$34:$K$41</definedName>
    <definedName name="_MatInverse_Out" hidden="1">[1]CC0MS!$D$45</definedName>
    <definedName name="_MatMult_A" hidden="1">[1]CC0MS!$D$45:$K$52</definedName>
    <definedName name="_MatMult_AxB" hidden="1">[1]CC0MS!$AB$58</definedName>
    <definedName name="_MatMult_B" hidden="1">[1]CC0MS!$AB$22:$AB$30</definedName>
    <definedName name="Al" localSheetId="1">'with thaumasite'!$R$286</definedName>
    <definedName name="Al" localSheetId="0">'without thaumasite'!$R$270</definedName>
    <definedName name="Al">#REF!</definedName>
    <definedName name="_xlnm.Print_Area" localSheetId="1">'with thaumasite'!$A$1:$O$39</definedName>
    <definedName name="_xlnm.Print_Area" localSheetId="0">'without thaumasite'!$A$1:$O$39</definedName>
    <definedName name="mAl" localSheetId="1">'with thaumasite'!$R$286</definedName>
    <definedName name="mAl" localSheetId="0">'without thaumasite'!$R$270</definedName>
    <definedName name="mAl">#REF!</definedName>
    <definedName name="mC" localSheetId="1">'with thaumasite'!$R$296</definedName>
    <definedName name="mC" localSheetId="0">'without thaumasite'!$R$280</definedName>
    <definedName name="mC">#REF!</definedName>
    <definedName name="mCa" localSheetId="1">'with thaumasite'!$R$287</definedName>
    <definedName name="mCa" localSheetId="0">'without thaumasite'!$R$271</definedName>
    <definedName name="mCa">#REF!</definedName>
    <definedName name="mFe" localSheetId="1">'with thaumasite'!$R$290</definedName>
    <definedName name="mFe" localSheetId="0">'without thaumasite'!$R$274</definedName>
    <definedName name="mFe">#REF!</definedName>
    <definedName name="mH" localSheetId="1">'with thaumasite'!$R$294</definedName>
    <definedName name="mH" localSheetId="0">'without thaumasite'!$R$278</definedName>
    <definedName name="mH">#REF!</definedName>
    <definedName name="mK" localSheetId="1">'with thaumasite'!$R$290</definedName>
    <definedName name="mK" localSheetId="0">'without thaumasite'!$R$274</definedName>
    <definedName name="mK">#REF!</definedName>
    <definedName name="mLi" localSheetId="1">'with thaumasite'!$R$298</definedName>
    <definedName name="mLi" localSheetId="0">'without thaumasite'!$R$282</definedName>
    <definedName name="mLi">#REF!</definedName>
    <definedName name="mMg" localSheetId="1">'with thaumasite'!$R$291</definedName>
    <definedName name="mMg" localSheetId="0">'without thaumasite'!$R$275</definedName>
    <definedName name="mMg">#REF!</definedName>
    <definedName name="mN" localSheetId="1">'with thaumasite'!$R$299</definedName>
    <definedName name="mN" localSheetId="0">'without thaumasite'!$R$283</definedName>
    <definedName name="mN">#REF!</definedName>
    <definedName name="mNa" localSheetId="1">'with thaumasite'!$R$288</definedName>
    <definedName name="mNa" localSheetId="0">'without thaumasite'!$R$272</definedName>
    <definedName name="mNa">#REF!</definedName>
    <definedName name="mO" localSheetId="1">'with thaumasite'!$R$293</definedName>
    <definedName name="mO" localSheetId="0">'without thaumasite'!$R$277</definedName>
    <definedName name="mO">#REF!</definedName>
    <definedName name="mS" localSheetId="1">'with thaumasite'!$R$295</definedName>
    <definedName name="mS" localSheetId="0">'without thaumasite'!$R$279</definedName>
    <definedName name="mS">#REF!</definedName>
    <definedName name="mSi" localSheetId="1">'with thaumasite'!$R$292</definedName>
    <definedName name="mSi" localSheetId="0">'without thaumasite'!$R$276</definedName>
    <definedName name="mSi">#REF!</definedName>
    <definedName name="mSr" localSheetId="1">'with thaumasite'!$R$297</definedName>
    <definedName name="mSr" localSheetId="0">'without thaumasite'!$R$281</definedName>
    <definedName name="mSr">#REF!</definedName>
  </definedNames>
  <calcPr calcId="145621"/>
</workbook>
</file>

<file path=xl/calcChain.xml><?xml version="1.0" encoding="utf-8"?>
<calcChain xmlns="http://schemas.openxmlformats.org/spreadsheetml/2006/main">
  <c r="Y26" i="2" l="1"/>
  <c r="Y25" i="2"/>
  <c r="AB24" i="2"/>
  <c r="AA24" i="2"/>
  <c r="Y24" i="2"/>
  <c r="AB23" i="2"/>
  <c r="AA23" i="2"/>
  <c r="Y23" i="2"/>
  <c r="AB22" i="2"/>
  <c r="AA22" i="2"/>
  <c r="Y22" i="2"/>
  <c r="AB21" i="2"/>
  <c r="AA21" i="2"/>
  <c r="Y21" i="2"/>
  <c r="AB20" i="2"/>
  <c r="AA20" i="2"/>
  <c r="Y20" i="2"/>
  <c r="AB19" i="2"/>
  <c r="AA19" i="2"/>
  <c r="Y26" i="1"/>
  <c r="Y25" i="1"/>
  <c r="AB24" i="1"/>
  <c r="AA24" i="1"/>
  <c r="Y24" i="1"/>
  <c r="AA23" i="1"/>
  <c r="Y23" i="1"/>
  <c r="AB22" i="1" s="1"/>
  <c r="AA22" i="1"/>
  <c r="Y22" i="1"/>
  <c r="AB23" i="1" s="1"/>
  <c r="AB21" i="1"/>
  <c r="AA21" i="1"/>
  <c r="Y21" i="1"/>
  <c r="AB20" i="1"/>
  <c r="AA20" i="1"/>
  <c r="Y20" i="1"/>
  <c r="AB19" i="1"/>
  <c r="AA19" i="1"/>
  <c r="F129" i="2" l="1"/>
  <c r="W54" i="2" s="1"/>
  <c r="F112" i="2"/>
  <c r="F96" i="2"/>
  <c r="I67" i="2" s="1"/>
  <c r="F79" i="2"/>
  <c r="F146" i="2"/>
  <c r="D146" i="2"/>
  <c r="AD65" i="2" s="1"/>
  <c r="E146" i="2"/>
  <c r="AD53" i="2" s="1"/>
  <c r="G146" i="2"/>
  <c r="H146" i="2"/>
  <c r="L146" i="2"/>
  <c r="AE65" i="2" s="1"/>
  <c r="M146" i="2"/>
  <c r="AE53" i="2" s="1"/>
  <c r="N146" i="2"/>
  <c r="O146" i="2"/>
  <c r="P146" i="2"/>
  <c r="T146" i="2"/>
  <c r="AF52" i="2" s="1"/>
  <c r="U146" i="2"/>
  <c r="V146" i="2"/>
  <c r="W146" i="2"/>
  <c r="AF55" i="2" s="1"/>
  <c r="X146" i="2"/>
  <c r="AB146" i="2"/>
  <c r="AG52" i="2" s="1"/>
  <c r="AC146" i="2"/>
  <c r="AD146" i="2"/>
  <c r="AG67" i="2" s="1"/>
  <c r="AE146" i="2"/>
  <c r="AF146" i="2"/>
  <c r="AJ146" i="2"/>
  <c r="AK146" i="2"/>
  <c r="AH66" i="2" s="1"/>
  <c r="AL146" i="2"/>
  <c r="AH54" i="2" s="1"/>
  <c r="AM146" i="2"/>
  <c r="AN146" i="2"/>
  <c r="AR146" i="2"/>
  <c r="AI65" i="2" s="1"/>
  <c r="AS146" i="2"/>
  <c r="AI53" i="2" s="1"/>
  <c r="AT146" i="2"/>
  <c r="AU146" i="2"/>
  <c r="AV146" i="2"/>
  <c r="AI69" i="2" s="1"/>
  <c r="AZ146" i="2"/>
  <c r="AJ52" i="2" s="1"/>
  <c r="BA146" i="2"/>
  <c r="BB146" i="2"/>
  <c r="BC146" i="2"/>
  <c r="AJ68" i="2" s="1"/>
  <c r="BD146" i="2"/>
  <c r="AE67" i="2"/>
  <c r="AD68" i="2"/>
  <c r="BT197" i="2"/>
  <c r="BL197" i="2"/>
  <c r="BD197" i="2"/>
  <c r="AV197" i="2"/>
  <c r="AN197" i="2"/>
  <c r="AF197" i="2"/>
  <c r="X197" i="2"/>
  <c r="P197" i="2"/>
  <c r="H197" i="2"/>
  <c r="D197" i="2"/>
  <c r="G197" i="2"/>
  <c r="F197" i="2"/>
  <c r="E197" i="2"/>
  <c r="BS197" i="2"/>
  <c r="BR197" i="2"/>
  <c r="BQ197" i="2"/>
  <c r="BP197" i="2"/>
  <c r="BK197" i="2"/>
  <c r="BJ197" i="2"/>
  <c r="BI197" i="2"/>
  <c r="BH197" i="2"/>
  <c r="BC197" i="2"/>
  <c r="BB197" i="2"/>
  <c r="BA197" i="2"/>
  <c r="AZ197" i="2"/>
  <c r="AU197" i="2"/>
  <c r="AT197" i="2"/>
  <c r="AS197" i="2"/>
  <c r="AR197" i="2"/>
  <c r="AM197" i="2"/>
  <c r="AL197" i="2"/>
  <c r="AK197" i="2"/>
  <c r="AJ197" i="2"/>
  <c r="AE197" i="2"/>
  <c r="AD197" i="2"/>
  <c r="AC197" i="2"/>
  <c r="AB197" i="2"/>
  <c r="W197" i="2"/>
  <c r="V197" i="2"/>
  <c r="U197" i="2"/>
  <c r="T197" i="2"/>
  <c r="O197" i="2"/>
  <c r="N197" i="2"/>
  <c r="M197" i="2"/>
  <c r="L197" i="2"/>
  <c r="R36" i="2"/>
  <c r="R35" i="2"/>
  <c r="R34" i="2"/>
  <c r="R33" i="2"/>
  <c r="R32" i="2"/>
  <c r="BO204" i="2"/>
  <c r="BG204" i="2"/>
  <c r="AY204" i="2"/>
  <c r="AQ204" i="2"/>
  <c r="AI204" i="2"/>
  <c r="AA204" i="2"/>
  <c r="S204" i="2"/>
  <c r="K204" i="2"/>
  <c r="C204" i="2"/>
  <c r="AT64" i="2"/>
  <c r="AS64" i="2"/>
  <c r="AR64" i="2"/>
  <c r="AQ64" i="2"/>
  <c r="AP64" i="2"/>
  <c r="AO64" i="2"/>
  <c r="AN64" i="2"/>
  <c r="AM64" i="2"/>
  <c r="AK64" i="2"/>
  <c r="AS62" i="2"/>
  <c r="AS61" i="2"/>
  <c r="AS60" i="2"/>
  <c r="AS59" i="2"/>
  <c r="AS58" i="2"/>
  <c r="AS57" i="2"/>
  <c r="AT51" i="2"/>
  <c r="AS51" i="2"/>
  <c r="AR51" i="2"/>
  <c r="AQ51" i="2"/>
  <c r="AP51" i="2"/>
  <c r="AO51" i="2"/>
  <c r="AN51" i="2"/>
  <c r="AM51" i="2"/>
  <c r="AK51" i="2"/>
  <c r="U330" i="2"/>
  <c r="U329" i="2"/>
  <c r="U328" i="2"/>
  <c r="W328" i="2" s="1"/>
  <c r="U327" i="2"/>
  <c r="U326" i="2"/>
  <c r="W326" i="2" s="1"/>
  <c r="U325" i="2"/>
  <c r="V325" i="2" s="1"/>
  <c r="U324" i="2"/>
  <c r="U323" i="2"/>
  <c r="U322" i="2"/>
  <c r="U321" i="2"/>
  <c r="V321" i="2" s="1"/>
  <c r="U320" i="2"/>
  <c r="U319" i="2"/>
  <c r="U318" i="2"/>
  <c r="X313" i="2"/>
  <c r="W313" i="2"/>
  <c r="V313" i="2"/>
  <c r="X312" i="2"/>
  <c r="W312" i="2"/>
  <c r="V312" i="2"/>
  <c r="U311" i="2"/>
  <c r="T311" i="2"/>
  <c r="X310" i="2"/>
  <c r="W310" i="2"/>
  <c r="V310" i="2"/>
  <c r="T310" i="2"/>
  <c r="X309" i="2"/>
  <c r="W309" i="2"/>
  <c r="V309" i="2"/>
  <c r="X308" i="2"/>
  <c r="X311" i="2" s="1"/>
  <c r="W308" i="2"/>
  <c r="V308" i="2"/>
  <c r="X307" i="2"/>
  <c r="W307" i="2"/>
  <c r="V307" i="2"/>
  <c r="X306" i="2"/>
  <c r="W306" i="2"/>
  <c r="V306" i="2"/>
  <c r="X305" i="2"/>
  <c r="W305" i="2"/>
  <c r="V305" i="2"/>
  <c r="X304" i="2"/>
  <c r="W304" i="2"/>
  <c r="V304" i="2"/>
  <c r="Y303" i="2"/>
  <c r="Z303" i="2" s="1"/>
  <c r="X302" i="2"/>
  <c r="W302" i="2"/>
  <c r="V302" i="2"/>
  <c r="Y301" i="2"/>
  <c r="X300" i="2"/>
  <c r="W300" i="2"/>
  <c r="V300" i="2"/>
  <c r="R300" i="2"/>
  <c r="W299" i="2"/>
  <c r="V299" i="2"/>
  <c r="X298" i="2"/>
  <c r="W298" i="2"/>
  <c r="V298" i="2"/>
  <c r="X296" i="2"/>
  <c r="W296" i="2"/>
  <c r="V296" i="2"/>
  <c r="W293" i="2"/>
  <c r="V293" i="2"/>
  <c r="X292" i="2"/>
  <c r="X294" i="2" s="1"/>
  <c r="W292" i="2"/>
  <c r="V292" i="2"/>
  <c r="X291" i="2"/>
  <c r="W291" i="2"/>
  <c r="V291" i="2"/>
  <c r="T291" i="2"/>
  <c r="X289" i="2"/>
  <c r="W289" i="2"/>
  <c r="V289" i="2"/>
  <c r="T289" i="2"/>
  <c r="Y288" i="2"/>
  <c r="Y287" i="2"/>
  <c r="Y286" i="2"/>
  <c r="AA286" i="2" s="1"/>
  <c r="J240" i="2"/>
  <c r="B240" i="2"/>
  <c r="B239" i="2"/>
  <c r="B238" i="2"/>
  <c r="J237" i="2"/>
  <c r="B237" i="2"/>
  <c r="B236" i="2"/>
  <c r="J235" i="2"/>
  <c r="B235" i="2"/>
  <c r="V234" i="2"/>
  <c r="U234" i="2"/>
  <c r="T234" i="2"/>
  <c r="S234" i="2"/>
  <c r="R234" i="2"/>
  <c r="Q234" i="2"/>
  <c r="P234" i="2"/>
  <c r="O234" i="2"/>
  <c r="N234" i="2"/>
  <c r="M234" i="2"/>
  <c r="L234" i="2"/>
  <c r="K234" i="2"/>
  <c r="J234" i="2"/>
  <c r="I234" i="2"/>
  <c r="H234" i="2"/>
  <c r="G234" i="2"/>
  <c r="F234" i="2"/>
  <c r="E234" i="2"/>
  <c r="D234" i="2"/>
  <c r="C234" i="2"/>
  <c r="V233" i="2"/>
  <c r="U233" i="2"/>
  <c r="T233" i="2"/>
  <c r="S233" i="2"/>
  <c r="R233" i="2"/>
  <c r="Q233" i="2"/>
  <c r="P233" i="2"/>
  <c r="O233" i="2"/>
  <c r="N233" i="2"/>
  <c r="M233" i="2"/>
  <c r="L233" i="2"/>
  <c r="K233" i="2"/>
  <c r="J233" i="2"/>
  <c r="I233" i="2"/>
  <c r="H233" i="2"/>
  <c r="G233" i="2"/>
  <c r="F233" i="2"/>
  <c r="E233" i="2"/>
  <c r="C233" i="2"/>
  <c r="B232" i="2"/>
  <c r="B231" i="2"/>
  <c r="B230" i="2"/>
  <c r="B229" i="2"/>
  <c r="B228" i="2"/>
  <c r="K241" i="2" s="1"/>
  <c r="B227" i="2"/>
  <c r="B224" i="2"/>
  <c r="B223" i="2"/>
  <c r="B222" i="2"/>
  <c r="B221" i="2"/>
  <c r="B220" i="2"/>
  <c r="B219" i="2"/>
  <c r="BO187" i="2"/>
  <c r="BG187" i="2"/>
  <c r="AY187" i="2"/>
  <c r="AQ187" i="2"/>
  <c r="AI187" i="2"/>
  <c r="AA187" i="2"/>
  <c r="S187" i="2"/>
  <c r="K187" i="2"/>
  <c r="C187" i="2"/>
  <c r="BT180" i="2"/>
  <c r="AT56" i="2" s="1"/>
  <c r="BS180" i="2"/>
  <c r="BK55" i="2" s="1"/>
  <c r="BR180" i="2"/>
  <c r="BK54" i="2" s="1"/>
  <c r="BQ180" i="2"/>
  <c r="BK53" i="2" s="1"/>
  <c r="BP180" i="2"/>
  <c r="AT65" i="2" s="1"/>
  <c r="BL180" i="2"/>
  <c r="AS56" i="2" s="1"/>
  <c r="BK180" i="2"/>
  <c r="BJ55" i="2" s="1"/>
  <c r="BJ180" i="2"/>
  <c r="AS67" i="2" s="1"/>
  <c r="BI180" i="2"/>
  <c r="AS53" i="2" s="1"/>
  <c r="BH180" i="2"/>
  <c r="AS65" i="2" s="1"/>
  <c r="BD180" i="2"/>
  <c r="BI56" i="2" s="1"/>
  <c r="BC180" i="2"/>
  <c r="BI55" i="2" s="1"/>
  <c r="BB180" i="2"/>
  <c r="BI54" i="2" s="1"/>
  <c r="BA180" i="2"/>
  <c r="AR66" i="2" s="1"/>
  <c r="AZ180" i="2"/>
  <c r="BI52" i="2" s="1"/>
  <c r="AV180" i="2"/>
  <c r="AU180" i="2"/>
  <c r="BK68" i="2" s="1"/>
  <c r="AT180" i="2"/>
  <c r="AQ67" i="2" s="1"/>
  <c r="AS180" i="2"/>
  <c r="AQ53" i="2" s="1"/>
  <c r="AR180" i="2"/>
  <c r="AN180" i="2"/>
  <c r="AP56" i="2" s="1"/>
  <c r="AM180" i="2"/>
  <c r="AP68" i="2" s="1"/>
  <c r="AL180" i="2"/>
  <c r="BG54" i="2" s="1"/>
  <c r="AK180" i="2"/>
  <c r="BG53" i="2" s="1"/>
  <c r="AJ180" i="2"/>
  <c r="BG65" i="2" s="1"/>
  <c r="AF180" i="2"/>
  <c r="AO56" i="2" s="1"/>
  <c r="AE180" i="2"/>
  <c r="BF55" i="2" s="1"/>
  <c r="AD180" i="2"/>
  <c r="AC180" i="2"/>
  <c r="BF53" i="2" s="1"/>
  <c r="AB180" i="2"/>
  <c r="AO65" i="2" s="1"/>
  <c r="X180" i="2"/>
  <c r="BE56" i="2" s="1"/>
  <c r="W180" i="2"/>
  <c r="BE68" i="2" s="1"/>
  <c r="V180" i="2"/>
  <c r="BE67" i="2" s="1"/>
  <c r="U180" i="2"/>
  <c r="BE66" i="2" s="1"/>
  <c r="T180" i="2"/>
  <c r="AN65" i="2" s="1"/>
  <c r="P180" i="2"/>
  <c r="BD69" i="2" s="1"/>
  <c r="O180" i="2"/>
  <c r="BD55" i="2" s="1"/>
  <c r="N180" i="2"/>
  <c r="AM67" i="2" s="1"/>
  <c r="M180" i="2"/>
  <c r="AM53" i="2" s="1"/>
  <c r="L180" i="2"/>
  <c r="BD65" i="2" s="1"/>
  <c r="H180" i="2"/>
  <c r="AK69" i="2" s="1"/>
  <c r="G180" i="2"/>
  <c r="BC68" i="2" s="1"/>
  <c r="F180" i="2"/>
  <c r="BC54" i="2" s="1"/>
  <c r="E180" i="2"/>
  <c r="BC66" i="2" s="1"/>
  <c r="D180" i="2"/>
  <c r="AK52" i="2" s="1"/>
  <c r="BO170" i="2"/>
  <c r="BG170" i="2"/>
  <c r="AY170" i="2"/>
  <c r="AQ170" i="2"/>
  <c r="AI170" i="2"/>
  <c r="AA170" i="2"/>
  <c r="S170" i="2"/>
  <c r="K170" i="2"/>
  <c r="C170" i="2"/>
  <c r="BT163" i="2"/>
  <c r="BS163" i="2"/>
  <c r="BB55" i="2" s="1"/>
  <c r="BR163" i="2"/>
  <c r="BQ163" i="2"/>
  <c r="BB53" i="2" s="1"/>
  <c r="BP163" i="2"/>
  <c r="BB52" i="2" s="1"/>
  <c r="BL163" i="2"/>
  <c r="BA56" i="2" s="1"/>
  <c r="BK163" i="2"/>
  <c r="BJ163" i="2"/>
  <c r="BA54" i="2" s="1"/>
  <c r="BI163" i="2"/>
  <c r="BA53" i="2" s="1"/>
  <c r="BH163" i="2"/>
  <c r="BD163" i="2"/>
  <c r="AZ56" i="2" s="1"/>
  <c r="BC163" i="2"/>
  <c r="BB163" i="2"/>
  <c r="BA163" i="2"/>
  <c r="AZ163" i="2"/>
  <c r="AZ52" i="2" s="1"/>
  <c r="AV163" i="2"/>
  <c r="AZ69" i="2" s="1"/>
  <c r="AU163" i="2"/>
  <c r="BB68" i="2" s="1"/>
  <c r="AT163" i="2"/>
  <c r="BB67" i="2" s="1"/>
  <c r="AS163" i="2"/>
  <c r="AY66" i="2" s="1"/>
  <c r="AR163" i="2"/>
  <c r="AY65" i="2" s="1"/>
  <c r="AN163" i="2"/>
  <c r="AX69" i="2" s="1"/>
  <c r="AM163" i="2"/>
  <c r="AX55" i="2" s="1"/>
  <c r="AL163" i="2"/>
  <c r="AX54" i="2" s="1"/>
  <c r="AK163" i="2"/>
  <c r="AX66" i="2" s="1"/>
  <c r="AJ163" i="2"/>
  <c r="AX65" i="2" s="1"/>
  <c r="AF163" i="2"/>
  <c r="AE163" i="2"/>
  <c r="AD163" i="2"/>
  <c r="AW54" i="2" s="1"/>
  <c r="AC163" i="2"/>
  <c r="AB163" i="2"/>
  <c r="X163" i="2"/>
  <c r="W163" i="2"/>
  <c r="V163" i="2"/>
  <c r="AV67" i="2" s="1"/>
  <c r="U163" i="2"/>
  <c r="T163" i="2"/>
  <c r="P163" i="2"/>
  <c r="O163" i="2"/>
  <c r="N163" i="2"/>
  <c r="M163" i="2"/>
  <c r="AU53" i="2" s="1"/>
  <c r="L163" i="2"/>
  <c r="AU65" i="2" s="1"/>
  <c r="H163" i="2"/>
  <c r="G163" i="2"/>
  <c r="F163" i="2"/>
  <c r="AL54" i="2" s="1"/>
  <c r="E163" i="2"/>
  <c r="D163" i="2"/>
  <c r="AY153" i="2"/>
  <c r="AQ153" i="2"/>
  <c r="AI153" i="2"/>
  <c r="AA153" i="2"/>
  <c r="S153" i="2"/>
  <c r="K153" i="2"/>
  <c r="C153" i="2"/>
  <c r="AJ67" i="2"/>
  <c r="AJ66" i="2"/>
  <c r="AI55" i="2"/>
  <c r="AI67" i="2"/>
  <c r="AH69" i="2"/>
  <c r="AH55" i="2"/>
  <c r="AH52" i="2"/>
  <c r="AG55" i="2"/>
  <c r="AG66" i="2"/>
  <c r="AF67" i="2"/>
  <c r="AF66" i="2"/>
  <c r="AE68" i="2"/>
  <c r="AD56" i="2"/>
  <c r="AD54" i="2"/>
  <c r="AY136" i="2"/>
  <c r="AQ136" i="2"/>
  <c r="AI136" i="2"/>
  <c r="AA136" i="2"/>
  <c r="S136" i="2"/>
  <c r="K136" i="2"/>
  <c r="C136" i="2"/>
  <c r="BD129" i="2"/>
  <c r="AC69" i="2" s="1"/>
  <c r="BC129" i="2"/>
  <c r="AC55" i="2" s="1"/>
  <c r="BB129" i="2"/>
  <c r="AC67" i="2" s="1"/>
  <c r="BA129" i="2"/>
  <c r="AC66" i="2" s="1"/>
  <c r="AZ129" i="2"/>
  <c r="AC52" i="2" s="1"/>
  <c r="AV129" i="2"/>
  <c r="AB56" i="2" s="1"/>
  <c r="AU129" i="2"/>
  <c r="AB68" i="2" s="1"/>
  <c r="AT129" i="2"/>
  <c r="AB67" i="2" s="1"/>
  <c r="AS129" i="2"/>
  <c r="AB53" i="2" s="1"/>
  <c r="AR129" i="2"/>
  <c r="AB52" i="2" s="1"/>
  <c r="AN129" i="2"/>
  <c r="AA69" i="2" s="1"/>
  <c r="AM129" i="2"/>
  <c r="AA68" i="2" s="1"/>
  <c r="AL129" i="2"/>
  <c r="AA54" i="2" s="1"/>
  <c r="AK129" i="2"/>
  <c r="AA66" i="2" s="1"/>
  <c r="AJ129" i="2"/>
  <c r="AA65" i="2" s="1"/>
  <c r="AF129" i="2"/>
  <c r="Z69" i="2" s="1"/>
  <c r="AE129" i="2"/>
  <c r="Z55" i="2" s="1"/>
  <c r="AD129" i="2"/>
  <c r="Z67" i="2" s="1"/>
  <c r="AC129" i="2"/>
  <c r="Z66" i="2" s="1"/>
  <c r="AB129" i="2"/>
  <c r="Z65" i="2" s="1"/>
  <c r="X129" i="2"/>
  <c r="Y69" i="2" s="1"/>
  <c r="W129" i="2"/>
  <c r="Y68" i="2" s="1"/>
  <c r="V129" i="2"/>
  <c r="Y67" i="2" s="1"/>
  <c r="U129" i="2"/>
  <c r="Y66" i="2" s="1"/>
  <c r="T129" i="2"/>
  <c r="Y65" i="2" s="1"/>
  <c r="P129" i="2"/>
  <c r="X56" i="2" s="1"/>
  <c r="O129" i="2"/>
  <c r="X68" i="2" s="1"/>
  <c r="N129" i="2"/>
  <c r="X67" i="2" s="1"/>
  <c r="M129" i="2"/>
  <c r="X66" i="2" s="1"/>
  <c r="L129" i="2"/>
  <c r="X65" i="2" s="1"/>
  <c r="H129" i="2"/>
  <c r="W69" i="2" s="1"/>
  <c r="G129" i="2"/>
  <c r="W68" i="2" s="1"/>
  <c r="E129" i="2"/>
  <c r="W53" i="2" s="1"/>
  <c r="D129" i="2"/>
  <c r="W65" i="2" s="1"/>
  <c r="AY119" i="2"/>
  <c r="AQ119" i="2"/>
  <c r="AI119" i="2"/>
  <c r="AA119" i="2"/>
  <c r="S119" i="2"/>
  <c r="K119" i="2"/>
  <c r="C119" i="2"/>
  <c r="BD112" i="2"/>
  <c r="V69" i="2" s="1"/>
  <c r="BC112" i="2"/>
  <c r="BB112" i="2"/>
  <c r="V67" i="2" s="1"/>
  <c r="BA112" i="2"/>
  <c r="AZ112" i="2"/>
  <c r="V65" i="2" s="1"/>
  <c r="AV112" i="2"/>
  <c r="U56" i="2" s="1"/>
  <c r="AU112" i="2"/>
  <c r="U68" i="2" s="1"/>
  <c r="AT112" i="2"/>
  <c r="AS112" i="2"/>
  <c r="U66" i="2" s="1"/>
  <c r="AR112" i="2"/>
  <c r="U65" i="2" s="1"/>
  <c r="AN112" i="2"/>
  <c r="T69" i="2" s="1"/>
  <c r="AM112" i="2"/>
  <c r="AL112" i="2"/>
  <c r="T67" i="2" s="1"/>
  <c r="AK112" i="2"/>
  <c r="T53" i="2" s="1"/>
  <c r="AJ112" i="2"/>
  <c r="T52" i="2" s="1"/>
  <c r="AF112" i="2"/>
  <c r="AE112" i="2"/>
  <c r="S68" i="2" s="1"/>
  <c r="AD112" i="2"/>
  <c r="S67" i="2" s="1"/>
  <c r="AC112" i="2"/>
  <c r="S53" i="2" s="1"/>
  <c r="AB112" i="2"/>
  <c r="X112" i="2"/>
  <c r="R69" i="2" s="1"/>
  <c r="W112" i="2"/>
  <c r="R68" i="2" s="1"/>
  <c r="V112" i="2"/>
  <c r="R54" i="2" s="1"/>
  <c r="U112" i="2"/>
  <c r="T112" i="2"/>
  <c r="R65" i="2" s="1"/>
  <c r="P112" i="2"/>
  <c r="Q69" i="2" s="1"/>
  <c r="O112" i="2"/>
  <c r="Q55" i="2" s="1"/>
  <c r="N112" i="2"/>
  <c r="M112" i="2"/>
  <c r="Q66" i="2" s="1"/>
  <c r="L112" i="2"/>
  <c r="Q52" i="2" s="1"/>
  <c r="H112" i="2"/>
  <c r="P69" i="2" s="1"/>
  <c r="G112" i="2"/>
  <c r="P67" i="2"/>
  <c r="E112" i="2"/>
  <c r="P66" i="2" s="1"/>
  <c r="D112" i="2"/>
  <c r="P65" i="2" s="1"/>
  <c r="AY103" i="2"/>
  <c r="AQ103" i="2"/>
  <c r="AI103" i="2"/>
  <c r="AA103" i="2"/>
  <c r="S103" i="2"/>
  <c r="K103" i="2"/>
  <c r="C103" i="2"/>
  <c r="BD96" i="2"/>
  <c r="O69" i="2" s="1"/>
  <c r="BC96" i="2"/>
  <c r="O68" i="2" s="1"/>
  <c r="BB96" i="2"/>
  <c r="O67" i="2" s="1"/>
  <c r="BA96" i="2"/>
  <c r="O53" i="2" s="1"/>
  <c r="AZ96" i="2"/>
  <c r="O65" i="2" s="1"/>
  <c r="AV96" i="2"/>
  <c r="AU96" i="2"/>
  <c r="N55" i="2" s="1"/>
  <c r="AT96" i="2"/>
  <c r="N54" i="2" s="1"/>
  <c r="AS96" i="2"/>
  <c r="N53" i="2" s="1"/>
  <c r="AR96" i="2"/>
  <c r="N65" i="2" s="1"/>
  <c r="AN96" i="2"/>
  <c r="M69" i="2" s="1"/>
  <c r="AM96" i="2"/>
  <c r="M55" i="2" s="1"/>
  <c r="AL96" i="2"/>
  <c r="M67" i="2" s="1"/>
  <c r="AK96" i="2"/>
  <c r="M66" i="2" s="1"/>
  <c r="AJ96" i="2"/>
  <c r="M52" i="2" s="1"/>
  <c r="AF96" i="2"/>
  <c r="AE96" i="2"/>
  <c r="L68" i="2" s="1"/>
  <c r="AD96" i="2"/>
  <c r="L67" i="2" s="1"/>
  <c r="AC96" i="2"/>
  <c r="L66" i="2" s="1"/>
  <c r="AB96" i="2"/>
  <c r="L52" i="2" s="1"/>
  <c r="X96" i="2"/>
  <c r="K69" i="2" s="1"/>
  <c r="W96" i="2"/>
  <c r="K68" i="2" s="1"/>
  <c r="V96" i="2"/>
  <c r="K67" i="2" s="1"/>
  <c r="U96" i="2"/>
  <c r="K53" i="2" s="1"/>
  <c r="T96" i="2"/>
  <c r="K52" i="2" s="1"/>
  <c r="P96" i="2"/>
  <c r="J69" i="2" s="1"/>
  <c r="O96" i="2"/>
  <c r="J55" i="2" s="1"/>
  <c r="N96" i="2"/>
  <c r="J54" i="2" s="1"/>
  <c r="M96" i="2"/>
  <c r="J66" i="2" s="1"/>
  <c r="L96" i="2"/>
  <c r="J65" i="2" s="1"/>
  <c r="H96" i="2"/>
  <c r="I56" i="2" s="1"/>
  <c r="G96" i="2"/>
  <c r="I55" i="2" s="1"/>
  <c r="E96" i="2"/>
  <c r="I66" i="2" s="1"/>
  <c r="D96" i="2"/>
  <c r="I52" i="2" s="1"/>
  <c r="AY86" i="2"/>
  <c r="AQ86" i="2"/>
  <c r="AI86" i="2"/>
  <c r="AA86" i="2"/>
  <c r="S86" i="2"/>
  <c r="K86" i="2"/>
  <c r="C86" i="2"/>
  <c r="BD79" i="2"/>
  <c r="H69" i="2" s="1"/>
  <c r="BC79" i="2"/>
  <c r="H68" i="2" s="1"/>
  <c r="BB79" i="2"/>
  <c r="H54" i="2" s="1"/>
  <c r="BA79" i="2"/>
  <c r="H53" i="2" s="1"/>
  <c r="AZ79" i="2"/>
  <c r="H65" i="2" s="1"/>
  <c r="AV79" i="2"/>
  <c r="G69" i="2" s="1"/>
  <c r="AU79" i="2"/>
  <c r="G68" i="2" s="1"/>
  <c r="AT79" i="2"/>
  <c r="G54" i="2" s="1"/>
  <c r="AS79" i="2"/>
  <c r="G53" i="2" s="1"/>
  <c r="AR79" i="2"/>
  <c r="G65" i="2" s="1"/>
  <c r="AN79" i="2"/>
  <c r="F69" i="2" s="1"/>
  <c r="AM79" i="2"/>
  <c r="F68" i="2" s="1"/>
  <c r="AL79" i="2"/>
  <c r="F67" i="2" s="1"/>
  <c r="AK79" i="2"/>
  <c r="F66" i="2" s="1"/>
  <c r="AJ79" i="2"/>
  <c r="F52" i="2" s="1"/>
  <c r="AF79" i="2"/>
  <c r="E69" i="2" s="1"/>
  <c r="AE79" i="2"/>
  <c r="E68" i="2" s="1"/>
  <c r="AD79" i="2"/>
  <c r="E67" i="2" s="1"/>
  <c r="AC79" i="2"/>
  <c r="E66" i="2" s="1"/>
  <c r="AB79" i="2"/>
  <c r="E65" i="2" s="1"/>
  <c r="X79" i="2"/>
  <c r="D69" i="2" s="1"/>
  <c r="W79" i="2"/>
  <c r="D68" i="2" s="1"/>
  <c r="V79" i="2"/>
  <c r="D54" i="2" s="1"/>
  <c r="U79" i="2"/>
  <c r="D53" i="2" s="1"/>
  <c r="T79" i="2"/>
  <c r="D65" i="2" s="1"/>
  <c r="P79" i="2"/>
  <c r="C69" i="2" s="1"/>
  <c r="O79" i="2"/>
  <c r="C68" i="2" s="1"/>
  <c r="N79" i="2"/>
  <c r="C54" i="2" s="1"/>
  <c r="M79" i="2"/>
  <c r="C53" i="2" s="1"/>
  <c r="L79" i="2"/>
  <c r="C65" i="2" s="1"/>
  <c r="H79" i="2"/>
  <c r="B56" i="2" s="1"/>
  <c r="G79" i="2"/>
  <c r="B68" i="2" s="1"/>
  <c r="B67" i="2"/>
  <c r="E79" i="2"/>
  <c r="B66" i="2" s="1"/>
  <c r="D79" i="2"/>
  <c r="B52" i="2" s="1"/>
  <c r="BF69" i="2"/>
  <c r="BK64" i="2"/>
  <c r="BJ64" i="2"/>
  <c r="BI64" i="2"/>
  <c r="BH64" i="2"/>
  <c r="BG64" i="2"/>
  <c r="BF64" i="2"/>
  <c r="BE64" i="2"/>
  <c r="BD64" i="2"/>
  <c r="BC64" i="2"/>
  <c r="BB64" i="2"/>
  <c r="BA64" i="2"/>
  <c r="AZ64" i="2"/>
  <c r="AY64" i="2"/>
  <c r="AX64" i="2"/>
  <c r="AW64" i="2"/>
  <c r="AV64" i="2"/>
  <c r="AU64" i="2"/>
  <c r="AL64" i="2"/>
  <c r="AJ64" i="2"/>
  <c r="AI64" i="2"/>
  <c r="AH64" i="2"/>
  <c r="AG64" i="2"/>
  <c r="AF64" i="2"/>
  <c r="AE64" i="2"/>
  <c r="AD64" i="2"/>
  <c r="AC64" i="2"/>
  <c r="AB64" i="2"/>
  <c r="AA64" i="2"/>
  <c r="Z64" i="2"/>
  <c r="Y64" i="2"/>
  <c r="X64" i="2"/>
  <c r="W64" i="2"/>
  <c r="V64" i="2"/>
  <c r="U64" i="2"/>
  <c r="T64" i="2"/>
  <c r="S64" i="2"/>
  <c r="R64" i="2"/>
  <c r="Q64" i="2"/>
  <c r="P64" i="2"/>
  <c r="O64" i="2"/>
  <c r="N64" i="2"/>
  <c r="M64" i="2"/>
  <c r="L64" i="2"/>
  <c r="K64" i="2"/>
  <c r="J64" i="2"/>
  <c r="I64" i="2"/>
  <c r="H64" i="2"/>
  <c r="G64" i="2"/>
  <c r="F64" i="2"/>
  <c r="E64" i="2"/>
  <c r="D64" i="2"/>
  <c r="C64" i="2"/>
  <c r="B64" i="2"/>
  <c r="BB56" i="2"/>
  <c r="BK51" i="2"/>
  <c r="BJ51" i="2"/>
  <c r="BI51" i="2"/>
  <c r="BH51" i="2"/>
  <c r="BG51" i="2"/>
  <c r="BF51" i="2"/>
  <c r="BE51" i="2"/>
  <c r="BD51" i="2"/>
  <c r="BC51" i="2"/>
  <c r="BB51" i="2"/>
  <c r="BA51" i="2"/>
  <c r="AZ51" i="2"/>
  <c r="AY51" i="2"/>
  <c r="AX51" i="2"/>
  <c r="AW51" i="2"/>
  <c r="AV51" i="2"/>
  <c r="AU51" i="2"/>
  <c r="AL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M33" i="2"/>
  <c r="M32" i="2"/>
  <c r="M31" i="2"/>
  <c r="U26" i="2"/>
  <c r="U25" i="2"/>
  <c r="N21" i="2"/>
  <c r="M20" i="2"/>
  <c r="V15" i="2"/>
  <c r="J13" i="2"/>
  <c r="J12" i="2" s="1"/>
  <c r="I13" i="2"/>
  <c r="I12" i="2" s="1"/>
  <c r="H13" i="2"/>
  <c r="H12" i="2" s="1"/>
  <c r="G13" i="2"/>
  <c r="G12" i="2" s="1"/>
  <c r="F13" i="2"/>
  <c r="F12" i="2" s="1"/>
  <c r="X10" i="2"/>
  <c r="J1" i="2"/>
  <c r="I1" i="2"/>
  <c r="H1" i="2"/>
  <c r="G1" i="2"/>
  <c r="F1" i="2"/>
  <c r="V68" i="2" l="1"/>
  <c r="V55" i="2"/>
  <c r="AB65" i="2"/>
  <c r="V13" i="2"/>
  <c r="X9" i="2" s="1"/>
  <c r="BG55" i="2"/>
  <c r="G67" i="2"/>
  <c r="Z68" i="2"/>
  <c r="V11" i="2"/>
  <c r="U69" i="2"/>
  <c r="BH55" i="2"/>
  <c r="N66" i="2"/>
  <c r="AW69" i="2"/>
  <c r="P53" i="2"/>
  <c r="H52" i="2"/>
  <c r="F54" i="2"/>
  <c r="AF68" i="2"/>
  <c r="V52" i="2"/>
  <c r="BH54" i="2"/>
  <c r="AZ68" i="2"/>
  <c r="N52" i="2"/>
  <c r="AF53" i="2"/>
  <c r="Z54" i="2"/>
  <c r="BF56" i="2"/>
  <c r="AG65" i="2"/>
  <c r="AB69" i="2"/>
  <c r="AY52" i="2"/>
  <c r="AX53" i="2"/>
  <c r="AJ54" i="2"/>
  <c r="AD55" i="2"/>
  <c r="J56" i="2"/>
  <c r="AB66" i="2"/>
  <c r="BD67" i="2"/>
  <c r="AI68" i="2"/>
  <c r="AD69" i="2"/>
  <c r="W66" i="2"/>
  <c r="V8" i="2"/>
  <c r="Y52" i="2"/>
  <c r="I53" i="2"/>
  <c r="BE53" i="2"/>
  <c r="AH56" i="2"/>
  <c r="F65" i="2"/>
  <c r="H66" i="2"/>
  <c r="AL66" i="2"/>
  <c r="BI67" i="2"/>
  <c r="V10" i="2"/>
  <c r="U52" i="2"/>
  <c r="Z52" i="2"/>
  <c r="AU52" i="2"/>
  <c r="M53" i="2"/>
  <c r="AL53" i="2"/>
  <c r="BI53" i="2"/>
  <c r="AE54" i="2"/>
  <c r="BD54" i="2"/>
  <c r="Y55" i="2"/>
  <c r="BC55" i="2"/>
  <c r="Q56" i="2"/>
  <c r="BD56" i="2"/>
  <c r="Q65" i="2"/>
  <c r="BK67" i="2"/>
  <c r="AH68" i="2"/>
  <c r="BG68" i="2"/>
  <c r="X328" i="2"/>
  <c r="J52" i="2"/>
  <c r="X52" i="2"/>
  <c r="AE52" i="2"/>
  <c r="BF52" i="2"/>
  <c r="AA53" i="2"/>
  <c r="L54" i="2"/>
  <c r="O55" i="2"/>
  <c r="AJ55" i="2"/>
  <c r="AW56" i="2"/>
  <c r="BF65" i="2"/>
  <c r="BH67" i="2"/>
  <c r="AC68" i="2"/>
  <c r="AV68" i="2"/>
  <c r="X69" i="2"/>
  <c r="AR53" i="2"/>
  <c r="AL52" i="2"/>
  <c r="H56" i="2"/>
  <c r="T56" i="2"/>
  <c r="M65" i="2"/>
  <c r="AC65" i="2"/>
  <c r="BI66" i="2"/>
  <c r="BJ68" i="2"/>
  <c r="I69" i="2"/>
  <c r="AX52" i="2"/>
  <c r="BK52" i="2"/>
  <c r="G55" i="2"/>
  <c r="O56" i="2"/>
  <c r="BF68" i="2"/>
  <c r="D52" i="2"/>
  <c r="E53" i="2"/>
  <c r="X53" i="2"/>
  <c r="AG53" i="2"/>
  <c r="B54" i="2"/>
  <c r="T54" i="2"/>
  <c r="AV54" i="2"/>
  <c r="L55" i="2"/>
  <c r="AY55" i="2"/>
  <c r="D56" i="2"/>
  <c r="BK56" i="2"/>
  <c r="I65" i="2"/>
  <c r="AL65" i="2"/>
  <c r="BC65" i="2"/>
  <c r="BB66" i="2"/>
  <c r="H67" i="2"/>
  <c r="AA67" i="2"/>
  <c r="N68" i="2"/>
  <c r="B69" i="2"/>
  <c r="AD52" i="2"/>
  <c r="I54" i="2"/>
  <c r="C55" i="2"/>
  <c r="AW55" i="2"/>
  <c r="AC56" i="2"/>
  <c r="B65" i="2"/>
  <c r="D67" i="2"/>
  <c r="W67" i="2"/>
  <c r="AL69" i="2"/>
  <c r="C66" i="2"/>
  <c r="AN52" i="2"/>
  <c r="AO53" i="2"/>
  <c r="AR54" i="2"/>
  <c r="AO55" i="2"/>
  <c r="AR56" i="2"/>
  <c r="AK65" i="2"/>
  <c r="AP65" i="2"/>
  <c r="AM66" i="2"/>
  <c r="AS66" i="2"/>
  <c r="AS68" i="2"/>
  <c r="AT69" i="2"/>
  <c r="BC52" i="2"/>
  <c r="L53" i="2"/>
  <c r="Q53" i="2"/>
  <c r="AW53" i="2"/>
  <c r="BJ53" i="2"/>
  <c r="O54" i="2"/>
  <c r="AZ54" i="2"/>
  <c r="BE54" i="2"/>
  <c r="E55" i="2"/>
  <c r="AU55" i="2"/>
  <c r="BA55" i="2"/>
  <c r="AX56" i="2"/>
  <c r="BG56" i="2"/>
  <c r="K65" i="2"/>
  <c r="AH65" i="2"/>
  <c r="G66" i="2"/>
  <c r="AW66" i="2"/>
  <c r="BF66" i="2"/>
  <c r="BC67" i="2"/>
  <c r="J68" i="2"/>
  <c r="AU68" i="2"/>
  <c r="BA68" i="2"/>
  <c r="V328" i="2"/>
  <c r="AP52" i="2"/>
  <c r="AK54" i="2"/>
  <c r="AT54" i="2"/>
  <c r="AP55" i="2"/>
  <c r="AK56" i="2"/>
  <c r="AR65" i="2"/>
  <c r="AN67" i="2"/>
  <c r="AR67" i="2"/>
  <c r="AO68" i="2"/>
  <c r="AT68" i="2"/>
  <c r="AO69" i="2"/>
  <c r="AR52" i="2"/>
  <c r="AN54" i="2"/>
  <c r="AQ55" i="2"/>
  <c r="AN56" i="2"/>
  <c r="AO66" i="2"/>
  <c r="AT67" i="2"/>
  <c r="AP69" i="2"/>
  <c r="BG52" i="2"/>
  <c r="AY53" i="2"/>
  <c r="K54" i="2"/>
  <c r="AF54" i="2"/>
  <c r="BB54" i="2"/>
  <c r="AE55" i="2"/>
  <c r="F56" i="2"/>
  <c r="M56" i="2"/>
  <c r="Y56" i="2"/>
  <c r="AL56" i="2"/>
  <c r="AX67" i="2"/>
  <c r="BG67" i="2"/>
  <c r="Q68" i="2"/>
  <c r="AY68" i="2"/>
  <c r="BD68" i="2"/>
  <c r="BG69" i="2"/>
  <c r="AA303" i="2"/>
  <c r="AT52" i="2"/>
  <c r="AP54" i="2"/>
  <c r="AM55" i="2"/>
  <c r="AT55" i="2"/>
  <c r="AK67" i="2"/>
  <c r="AP67" i="2"/>
  <c r="AM68" i="2"/>
  <c r="AN69" i="2"/>
  <c r="AR69" i="2"/>
  <c r="AA301" i="2"/>
  <c r="AB301" i="2"/>
  <c r="AD301" i="2" s="1"/>
  <c r="Z301" i="2"/>
  <c r="AE69" i="2"/>
  <c r="AE56" i="2"/>
  <c r="AL68" i="2"/>
  <c r="AU67" i="2"/>
  <c r="AV66" i="2"/>
  <c r="AW65" i="2"/>
  <c r="BA67" i="2"/>
  <c r="AZ67" i="2"/>
  <c r="BF54" i="2"/>
  <c r="BF67" i="2"/>
  <c r="BI65" i="2"/>
  <c r="AQ52" i="2"/>
  <c r="BJ69" i="2"/>
  <c r="AQ56" i="2"/>
  <c r="BI69" i="2"/>
  <c r="W322" i="2"/>
  <c r="V322" i="2"/>
  <c r="AM52" i="2"/>
  <c r="AK53" i="2"/>
  <c r="AM65" i="2"/>
  <c r="AK66" i="2"/>
  <c r="BA52" i="2"/>
  <c r="BC53" i="2"/>
  <c r="AL55" i="2"/>
  <c r="BE55" i="2"/>
  <c r="T66" i="2"/>
  <c r="AD66" i="2"/>
  <c r="AX68" i="2"/>
  <c r="X322" i="2"/>
  <c r="AT53" i="2"/>
  <c r="AQ65" i="2"/>
  <c r="AT66" i="2"/>
  <c r="AW52" i="2"/>
  <c r="BH52" i="2"/>
  <c r="AH53" i="2"/>
  <c r="AV53" i="2"/>
  <c r="AZ53" i="2"/>
  <c r="AG54" i="2"/>
  <c r="AU54" i="2"/>
  <c r="AY54" i="2"/>
  <c r="BJ54" i="2"/>
  <c r="AI56" i="2"/>
  <c r="BH65" i="2"/>
  <c r="BG66" i="2"/>
  <c r="BK69" i="2"/>
  <c r="N69" i="2"/>
  <c r="N56" i="2"/>
  <c r="AG56" i="2"/>
  <c r="AG69" i="2"/>
  <c r="AU56" i="2"/>
  <c r="AU69" i="2"/>
  <c r="AV55" i="2"/>
  <c r="AW67" i="2"/>
  <c r="BA65" i="2"/>
  <c r="AZ65" i="2"/>
  <c r="BA69" i="2"/>
  <c r="AZ55" i="2"/>
  <c r="AQ54" i="2"/>
  <c r="BJ67" i="2"/>
  <c r="AS69" i="2"/>
  <c r="BJ56" i="2"/>
  <c r="AP53" i="2"/>
  <c r="AO54" i="2"/>
  <c r="AS54" i="2"/>
  <c r="AN55" i="2"/>
  <c r="AM56" i="2"/>
  <c r="AS63" i="2"/>
  <c r="AP66" i="2"/>
  <c r="AO67" i="2"/>
  <c r="AN68" i="2"/>
  <c r="AR68" i="2"/>
  <c r="AM69" i="2"/>
  <c r="V12" i="2"/>
  <c r="X8" i="2" s="1"/>
  <c r="C52" i="2"/>
  <c r="AI52" i="2"/>
  <c r="BJ52" i="2"/>
  <c r="AJ53" i="2"/>
  <c r="S54" i="2"/>
  <c r="AI54" i="2"/>
  <c r="K55" i="2"/>
  <c r="R55" i="2"/>
  <c r="BB65" i="2"/>
  <c r="BK65" i="2"/>
  <c r="AY67" i="2"/>
  <c r="BB69" i="2"/>
  <c r="AL67" i="2"/>
  <c r="AU66" i="2"/>
  <c r="AV65" i="2"/>
  <c r="AV69" i="2"/>
  <c r="AV56" i="2"/>
  <c r="AW68" i="2"/>
  <c r="AZ66" i="2"/>
  <c r="AQ66" i="2"/>
  <c r="BI68" i="2"/>
  <c r="AQ68" i="2"/>
  <c r="BH68" i="2"/>
  <c r="AO52" i="2"/>
  <c r="AS52" i="2"/>
  <c r="AN53" i="2"/>
  <c r="AM54" i="2"/>
  <c r="AK55" i="2"/>
  <c r="AR55" i="2"/>
  <c r="AN66" i="2"/>
  <c r="AK68" i="2"/>
  <c r="AQ69" i="2"/>
  <c r="AS55" i="2"/>
  <c r="Y300" i="2"/>
  <c r="Z300" i="2" s="1"/>
  <c r="K238" i="2"/>
  <c r="K222" i="2" s="1"/>
  <c r="S241" i="2"/>
  <c r="S223" i="2" s="1"/>
  <c r="Y305" i="2"/>
  <c r="AA305" i="2" s="1"/>
  <c r="AB288" i="2"/>
  <c r="AD288" i="2" s="1"/>
  <c r="Z288" i="2"/>
  <c r="X318" i="2"/>
  <c r="V318" i="2"/>
  <c r="V320" i="2"/>
  <c r="W320" i="2"/>
  <c r="X324" i="2"/>
  <c r="V324" i="2"/>
  <c r="R52" i="2"/>
  <c r="AV52" i="2"/>
  <c r="BD52" i="2"/>
  <c r="J53" i="2"/>
  <c r="U53" i="2"/>
  <c r="E54" i="2"/>
  <c r="P54" i="2"/>
  <c r="V54" i="2"/>
  <c r="H55" i="2"/>
  <c r="S55" i="2"/>
  <c r="G56" i="2"/>
  <c r="K56" i="2"/>
  <c r="P56" i="2"/>
  <c r="V56" i="2"/>
  <c r="T65" i="2"/>
  <c r="BA66" i="2"/>
  <c r="R67" i="2"/>
  <c r="AY69" i="2"/>
  <c r="AY56" i="2"/>
  <c r="BC69" i="2"/>
  <c r="BC56" i="2"/>
  <c r="AB286" i="2"/>
  <c r="AD286" i="2" s="1"/>
  <c r="Z286" i="2"/>
  <c r="AA288" i="2"/>
  <c r="W318" i="2"/>
  <c r="X320" i="2"/>
  <c r="W324" i="2"/>
  <c r="O52" i="2"/>
  <c r="F53" i="2"/>
  <c r="D55" i="2"/>
  <c r="U55" i="2"/>
  <c r="C56" i="2"/>
  <c r="S66" i="2"/>
  <c r="BH69" i="2"/>
  <c r="BH56" i="2"/>
  <c r="T241" i="2"/>
  <c r="T219" i="2" s="1"/>
  <c r="E241" i="2"/>
  <c r="E219" i="2" s="1"/>
  <c r="BI198" i="2" s="1"/>
  <c r="Y292" i="2"/>
  <c r="AB292" i="2" s="1"/>
  <c r="AD292" i="2" s="1"/>
  <c r="X330" i="2"/>
  <c r="V330" i="2"/>
  <c r="G52" i="2"/>
  <c r="P52" i="2"/>
  <c r="B53" i="2"/>
  <c r="M54" i="2"/>
  <c r="R56" i="2"/>
  <c r="BJ65" i="2"/>
  <c r="BD53" i="2"/>
  <c r="BD66" i="2"/>
  <c r="BE52" i="2"/>
  <c r="BE65" i="2"/>
  <c r="BK66" i="2"/>
  <c r="BH66" i="2"/>
  <c r="I241" i="2"/>
  <c r="I224" i="2" s="1"/>
  <c r="V294" i="2"/>
  <c r="V297" i="2" s="1"/>
  <c r="V326" i="2"/>
  <c r="X326" i="2"/>
  <c r="W330" i="2"/>
  <c r="Y296" i="2"/>
  <c r="AB296" i="2" s="1"/>
  <c r="AD296" i="2" s="1"/>
  <c r="AB303" i="2"/>
  <c r="AD303" i="2" s="1"/>
  <c r="AC303" i="2" s="1"/>
  <c r="Z305" i="2"/>
  <c r="K237" i="2"/>
  <c r="K221" i="2" s="1"/>
  <c r="Y298" i="2"/>
  <c r="Y299" i="2"/>
  <c r="Z299" i="2" s="1"/>
  <c r="Y306" i="2"/>
  <c r="AB306" i="2" s="1"/>
  <c r="AD306" i="2" s="1"/>
  <c r="Y309" i="2"/>
  <c r="Z309" i="2" s="1"/>
  <c r="L56" i="2"/>
  <c r="L69" i="2"/>
  <c r="AF69" i="2"/>
  <c r="AF56" i="2"/>
  <c r="AJ69" i="2"/>
  <c r="AJ56" i="2"/>
  <c r="AB54" i="2"/>
  <c r="E56" i="2"/>
  <c r="AF65" i="2"/>
  <c r="AJ65" i="2"/>
  <c r="C67" i="2"/>
  <c r="AH67" i="2"/>
  <c r="P68" i="2"/>
  <c r="P55" i="2"/>
  <c r="U67" i="2"/>
  <c r="U54" i="2"/>
  <c r="E52" i="2"/>
  <c r="X54" i="2"/>
  <c r="B55" i="2"/>
  <c r="F55" i="2"/>
  <c r="AA55" i="2"/>
  <c r="AE66" i="2"/>
  <c r="AI66" i="2"/>
  <c r="L65" i="2"/>
  <c r="D66" i="2"/>
  <c r="AD67" i="2"/>
  <c r="AG68" i="2"/>
  <c r="Q67" i="2"/>
  <c r="Q54" i="2"/>
  <c r="R66" i="2"/>
  <c r="R53" i="2"/>
  <c r="S65" i="2"/>
  <c r="S52" i="2"/>
  <c r="S69" i="2"/>
  <c r="S56" i="2"/>
  <c r="T68" i="2"/>
  <c r="T55" i="2"/>
  <c r="V66" i="2"/>
  <c r="V53" i="2"/>
  <c r="AC53" i="2"/>
  <c r="V14" i="2"/>
  <c r="X14" i="2" s="1"/>
  <c r="Y53" i="2"/>
  <c r="W55" i="2"/>
  <c r="Z56" i="2"/>
  <c r="K66" i="2"/>
  <c r="O66" i="2"/>
  <c r="J67" i="2"/>
  <c r="N67" i="2"/>
  <c r="I68" i="2"/>
  <c r="M68" i="2"/>
  <c r="W56" i="2"/>
  <c r="BJ66" i="2"/>
  <c r="BE69" i="2"/>
  <c r="W52" i="2"/>
  <c r="AA52" i="2"/>
  <c r="Z53" i="2"/>
  <c r="Y54" i="2"/>
  <c r="AC54" i="2"/>
  <c r="X55" i="2"/>
  <c r="AB55" i="2"/>
  <c r="AA56" i="2"/>
  <c r="V5" i="2"/>
  <c r="X6" i="2" s="1"/>
  <c r="V6" i="2"/>
  <c r="X7" i="2" s="1"/>
  <c r="V7" i="2"/>
  <c r="X12" i="2" s="1"/>
  <c r="V9" i="2"/>
  <c r="X13" i="2" s="1"/>
  <c r="BH53" i="2"/>
  <c r="Y291" i="2"/>
  <c r="AB291" i="2" s="1"/>
  <c r="AD291" i="2" s="1"/>
  <c r="X323" i="2"/>
  <c r="W323" i="2"/>
  <c r="V323" i="2"/>
  <c r="Y310" i="2"/>
  <c r="AB310" i="2" s="1"/>
  <c r="AD310" i="2" s="1"/>
  <c r="Z287" i="2"/>
  <c r="AA287" i="2"/>
  <c r="AB287" i="2"/>
  <c r="AD287" i="2" s="1"/>
  <c r="Y312" i="2"/>
  <c r="AB312" i="2" s="1"/>
  <c r="AD312" i="2" s="1"/>
  <c r="X321" i="2"/>
  <c r="W321" i="2"/>
  <c r="J241" i="2"/>
  <c r="J220" i="2" s="1"/>
  <c r="K236" i="2"/>
  <c r="K220" i="2" s="1"/>
  <c r="K239" i="2"/>
  <c r="K223" i="2" s="1"/>
  <c r="Y289" i="2"/>
  <c r="AA289" i="2" s="1"/>
  <c r="Y302" i="2"/>
  <c r="Z302" i="2" s="1"/>
  <c r="X329" i="2"/>
  <c r="W329" i="2"/>
  <c r="V329" i="2"/>
  <c r="U241" i="2"/>
  <c r="U220" i="2" s="1"/>
  <c r="O241" i="2"/>
  <c r="O221" i="2" s="1"/>
  <c r="H241" i="2"/>
  <c r="M241" i="2"/>
  <c r="M221" i="2" s="1"/>
  <c r="D241" i="2"/>
  <c r="D220" i="2" s="1"/>
  <c r="C241" i="2"/>
  <c r="C223" i="2" s="1"/>
  <c r="P241" i="2"/>
  <c r="P224" i="2" s="1"/>
  <c r="W311" i="2"/>
  <c r="Y313" i="2"/>
  <c r="Z313" i="2" s="1"/>
  <c r="X319" i="2"/>
  <c r="W319" i="2"/>
  <c r="V319" i="2"/>
  <c r="X325" i="2"/>
  <c r="W325" i="2"/>
  <c r="X327" i="2"/>
  <c r="W327" i="2"/>
  <c r="V327" i="2"/>
  <c r="W294" i="2"/>
  <c r="Y293" i="2"/>
  <c r="AB293" i="2" s="1"/>
  <c r="AD293" i="2" s="1"/>
  <c r="K235" i="2"/>
  <c r="K219" i="2" s="1"/>
  <c r="K240" i="2"/>
  <c r="K224" i="2" s="1"/>
  <c r="V241" i="2"/>
  <c r="V220" i="2" s="1"/>
  <c r="R241" i="2"/>
  <c r="R221" i="2" s="1"/>
  <c r="N241" i="2"/>
  <c r="N223" i="2" s="1"/>
  <c r="F241" i="2"/>
  <c r="F223" i="2" s="1"/>
  <c r="G241" i="2"/>
  <c r="G221" i="2" s="1"/>
  <c r="L241" i="2"/>
  <c r="L220" i="2" s="1"/>
  <c r="Q241" i="2"/>
  <c r="X297" i="2"/>
  <c r="Y304" i="2"/>
  <c r="Z304" i="2" s="1"/>
  <c r="Y307" i="2"/>
  <c r="Y308" i="2"/>
  <c r="Z308" i="2" s="1"/>
  <c r="V311" i="2"/>
  <c r="L203" i="2" l="1"/>
  <c r="AJ203" i="2"/>
  <c r="AB203" i="2"/>
  <c r="AS148" i="2"/>
  <c r="BD148" i="2"/>
  <c r="AN148" i="2"/>
  <c r="AC199" i="2"/>
  <c r="U199" i="2"/>
  <c r="M199" i="2"/>
  <c r="E199" i="2"/>
  <c r="AT151" i="2"/>
  <c r="W151" i="2"/>
  <c r="G202" i="2"/>
  <c r="BB151" i="2"/>
  <c r="AM202" i="2"/>
  <c r="BS202" i="2"/>
  <c r="BK202" i="2"/>
  <c r="AE151" i="2"/>
  <c r="BC202" i="2"/>
  <c r="O202" i="2"/>
  <c r="AL151" i="2"/>
  <c r="AU202" i="2"/>
  <c r="AJ198" i="2"/>
  <c r="AB198" i="2"/>
  <c r="L198" i="2"/>
  <c r="F82" i="2"/>
  <c r="F149" i="2"/>
  <c r="F115" i="2"/>
  <c r="F132" i="2"/>
  <c r="F99" i="2"/>
  <c r="AJ184" i="2"/>
  <c r="L201" i="2"/>
  <c r="AB201" i="2"/>
  <c r="AJ201" i="2"/>
  <c r="BP202" i="2"/>
  <c r="BH202" i="2"/>
  <c r="AZ202" i="2"/>
  <c r="AR202" i="2"/>
  <c r="BR199" i="2"/>
  <c r="BJ199" i="2"/>
  <c r="D148" i="2"/>
  <c r="L148" i="2"/>
  <c r="AR148" i="2"/>
  <c r="AB148" i="2"/>
  <c r="T148" i="2"/>
  <c r="AZ148" i="2"/>
  <c r="F199" i="2"/>
  <c r="AJ148" i="2"/>
  <c r="N149" i="2"/>
  <c r="V149" i="2"/>
  <c r="AF152" i="2"/>
  <c r="AM152" i="2"/>
  <c r="AJ202" i="2"/>
  <c r="AB202" i="2"/>
  <c r="L202" i="2"/>
  <c r="AJ200" i="2"/>
  <c r="AB200" i="2"/>
  <c r="L200" i="2"/>
  <c r="AS186" i="2"/>
  <c r="AK152" i="2"/>
  <c r="U152" i="2"/>
  <c r="BA152" i="2"/>
  <c r="AS203" i="2"/>
  <c r="D203" i="2"/>
  <c r="E152" i="2"/>
  <c r="M152" i="2"/>
  <c r="AC152" i="2"/>
  <c r="T203" i="2"/>
  <c r="BB200" i="2"/>
  <c r="AT200" i="2"/>
  <c r="AL200" i="2"/>
  <c r="AD200" i="2"/>
  <c r="V200" i="2"/>
  <c r="N200" i="2"/>
  <c r="AV148" i="2"/>
  <c r="BC148" i="2"/>
  <c r="BL199" i="2"/>
  <c r="AF199" i="2"/>
  <c r="AV199" i="2"/>
  <c r="P199" i="2"/>
  <c r="BT199" i="2"/>
  <c r="BD199" i="2"/>
  <c r="AN199" i="2"/>
  <c r="X199" i="2"/>
  <c r="H199" i="2"/>
  <c r="G149" i="2"/>
  <c r="P149" i="2"/>
  <c r="AD149" i="2"/>
  <c r="X149" i="2"/>
  <c r="L199" i="2"/>
  <c r="AB199" i="2"/>
  <c r="AJ199" i="2"/>
  <c r="AU147" i="2"/>
  <c r="AE198" i="2"/>
  <c r="W198" i="2"/>
  <c r="T223" i="2"/>
  <c r="AU101" i="2" s="1"/>
  <c r="X11" i="2"/>
  <c r="Y328" i="2"/>
  <c r="AA328" i="2" s="1"/>
  <c r="Z312" i="2"/>
  <c r="AC312" i="2" s="1"/>
  <c r="AA300" i="2"/>
  <c r="AB167" i="2"/>
  <c r="E222" i="2"/>
  <c r="AK116" i="2" s="1"/>
  <c r="R222" i="2"/>
  <c r="V221" i="2"/>
  <c r="Y322" i="2"/>
  <c r="AB322" i="2" s="1"/>
  <c r="AD322" i="2" s="1"/>
  <c r="AB300" i="2"/>
  <c r="AD300" i="2" s="1"/>
  <c r="AC300" i="2" s="1"/>
  <c r="Y326" i="2"/>
  <c r="AB326" i="2" s="1"/>
  <c r="AD326" i="2" s="1"/>
  <c r="Z293" i="2"/>
  <c r="AC293" i="2" s="1"/>
  <c r="C224" i="2"/>
  <c r="AJ102" i="2" s="1"/>
  <c r="E220" i="2"/>
  <c r="S220" i="2"/>
  <c r="AC288" i="2"/>
  <c r="AC301" i="2"/>
  <c r="AB309" i="2"/>
  <c r="AD309" i="2" s="1"/>
  <c r="AC309" i="2" s="1"/>
  <c r="AB299" i="2"/>
  <c r="AD299" i="2" s="1"/>
  <c r="AC299" i="2" s="1"/>
  <c r="J219" i="2"/>
  <c r="AA310" i="2"/>
  <c r="F219" i="2"/>
  <c r="F220" i="2"/>
  <c r="AB305" i="2"/>
  <c r="AD305" i="2" s="1"/>
  <c r="AC305" i="2" s="1"/>
  <c r="AA292" i="2"/>
  <c r="Z292" i="2"/>
  <c r="AC292" i="2" s="1"/>
  <c r="E221" i="2"/>
  <c r="I221" i="2"/>
  <c r="V223" i="2"/>
  <c r="L167" i="2"/>
  <c r="Y324" i="2"/>
  <c r="AA324" i="2" s="1"/>
  <c r="AC286" i="2"/>
  <c r="X5" i="2"/>
  <c r="X16" i="2" s="1"/>
  <c r="Y7" i="2" s="1"/>
  <c r="Z7" i="2" s="1"/>
  <c r="M220" i="2"/>
  <c r="I219" i="2"/>
  <c r="S224" i="2"/>
  <c r="D186" i="2"/>
  <c r="I220" i="2"/>
  <c r="L184" i="2"/>
  <c r="S221" i="2"/>
  <c r="I222" i="2"/>
  <c r="AC287" i="2"/>
  <c r="S222" i="2"/>
  <c r="T186" i="2"/>
  <c r="I223" i="2"/>
  <c r="AB184" i="2"/>
  <c r="AJ167" i="2"/>
  <c r="Z310" i="2"/>
  <c r="AC310" i="2" s="1"/>
  <c r="J221" i="2"/>
  <c r="AA299" i="2"/>
  <c r="T224" i="2"/>
  <c r="T220" i="2"/>
  <c r="T221" i="2"/>
  <c r="S219" i="2"/>
  <c r="Y294" i="2"/>
  <c r="AB294" i="2" s="1"/>
  <c r="AD294" i="2" s="1"/>
  <c r="T222" i="2"/>
  <c r="L183" i="2"/>
  <c r="AJ183" i="2"/>
  <c r="AB166" i="2"/>
  <c r="AB183" i="2"/>
  <c r="AJ166" i="2"/>
  <c r="L166" i="2"/>
  <c r="AA306" i="2"/>
  <c r="Y330" i="2"/>
  <c r="D221" i="2"/>
  <c r="L224" i="2"/>
  <c r="D223" i="2"/>
  <c r="AA298" i="2"/>
  <c r="Z298" i="2"/>
  <c r="BI164" i="2"/>
  <c r="AK113" i="2"/>
  <c r="E113" i="2"/>
  <c r="M97" i="2"/>
  <c r="M113" i="2"/>
  <c r="AC97" i="2"/>
  <c r="AS113" i="2"/>
  <c r="U97" i="2"/>
  <c r="U113" i="2"/>
  <c r="AC113" i="2"/>
  <c r="BA97" i="2"/>
  <c r="E97" i="2"/>
  <c r="BA113" i="2"/>
  <c r="AK97" i="2"/>
  <c r="Y318" i="2"/>
  <c r="AA318" i="2" s="1"/>
  <c r="AB298" i="2"/>
  <c r="AD298" i="2" s="1"/>
  <c r="Y320" i="2"/>
  <c r="Z320" i="2" s="1"/>
  <c r="R220" i="2"/>
  <c r="V219" i="2"/>
  <c r="AA293" i="2"/>
  <c r="E224" i="2"/>
  <c r="BI181" i="2"/>
  <c r="M223" i="2"/>
  <c r="Z296" i="2"/>
  <c r="AC296" i="2" s="1"/>
  <c r="BA135" i="2"/>
  <c r="U135" i="2"/>
  <c r="AS169" i="2"/>
  <c r="AK135" i="2"/>
  <c r="T169" i="2"/>
  <c r="AC135" i="2"/>
  <c r="E135" i="2"/>
  <c r="M135" i="2"/>
  <c r="AS135" i="2"/>
  <c r="AE164" i="2"/>
  <c r="AU97" i="2"/>
  <c r="BK164" i="2"/>
  <c r="W164" i="2"/>
  <c r="AU113" i="2"/>
  <c r="BC164" i="2"/>
  <c r="O164" i="2"/>
  <c r="AU80" i="2"/>
  <c r="BS164" i="2"/>
  <c r="AU164" i="2"/>
  <c r="G164" i="2"/>
  <c r="AU130" i="2"/>
  <c r="AM164" i="2"/>
  <c r="AA309" i="2"/>
  <c r="AA304" i="2"/>
  <c r="AA296" i="2"/>
  <c r="AB302" i="2"/>
  <c r="AD302" i="2" s="1"/>
  <c r="AC302" i="2" s="1"/>
  <c r="U221" i="2"/>
  <c r="V224" i="2"/>
  <c r="AA312" i="2"/>
  <c r="E223" i="2"/>
  <c r="Z306" i="2"/>
  <c r="AC306" i="2" s="1"/>
  <c r="X290" i="2"/>
  <c r="U182" i="2"/>
  <c r="M182" i="2"/>
  <c r="E182" i="2"/>
  <c r="AC182" i="2"/>
  <c r="U165" i="2"/>
  <c r="AC165" i="2"/>
  <c r="E165" i="2"/>
  <c r="AM135" i="2"/>
  <c r="AF135" i="2"/>
  <c r="AF118" i="2"/>
  <c r="AF85" i="2"/>
  <c r="AM102" i="2"/>
  <c r="AM85" i="2"/>
  <c r="AM118" i="2"/>
  <c r="AF102" i="2"/>
  <c r="N182" i="2"/>
  <c r="F182" i="2"/>
  <c r="F165" i="2"/>
  <c r="N165" i="2"/>
  <c r="N115" i="2"/>
  <c r="N82" i="2"/>
  <c r="V132" i="2"/>
  <c r="N132" i="2"/>
  <c r="V115" i="2"/>
  <c r="V99" i="2"/>
  <c r="V82" i="2"/>
  <c r="N99" i="2"/>
  <c r="BP185" i="2"/>
  <c r="AZ185" i="2"/>
  <c r="BP168" i="2"/>
  <c r="BH168" i="2"/>
  <c r="BH185" i="2"/>
  <c r="AJ134" i="2"/>
  <c r="D134" i="2"/>
  <c r="AR185" i="2"/>
  <c r="L117" i="2"/>
  <c r="AJ117" i="2"/>
  <c r="D117" i="2"/>
  <c r="AZ134" i="2"/>
  <c r="AZ117" i="2"/>
  <c r="AB134" i="2"/>
  <c r="L134" i="2"/>
  <c r="T117" i="2"/>
  <c r="AB117" i="2"/>
  <c r="T134" i="2"/>
  <c r="BS182" i="2"/>
  <c r="AM182" i="2"/>
  <c r="G182" i="2"/>
  <c r="AE182" i="2"/>
  <c r="W182" i="2"/>
  <c r="O182" i="2"/>
  <c r="BD165" i="2"/>
  <c r="X165" i="2"/>
  <c r="BK182" i="2"/>
  <c r="AU182" i="2"/>
  <c r="AV165" i="2"/>
  <c r="P165" i="2"/>
  <c r="BT165" i="2"/>
  <c r="H165" i="2"/>
  <c r="BC131" i="2"/>
  <c r="AF165" i="2"/>
  <c r="BC182" i="2"/>
  <c r="BC114" i="2"/>
  <c r="AV114" i="2"/>
  <c r="BL165" i="2"/>
  <c r="AV98" i="2"/>
  <c r="BC81" i="2"/>
  <c r="AN165" i="2"/>
  <c r="AV131" i="2"/>
  <c r="BC98" i="2"/>
  <c r="AV81" i="2"/>
  <c r="Q222" i="2"/>
  <c r="Q219" i="2"/>
  <c r="Y327" i="2"/>
  <c r="AA327" i="2" s="1"/>
  <c r="H219" i="2"/>
  <c r="H222" i="2"/>
  <c r="H221" i="2"/>
  <c r="Q221" i="2"/>
  <c r="X132" i="2"/>
  <c r="G132" i="2"/>
  <c r="G115" i="2"/>
  <c r="AD99" i="2"/>
  <c r="P99" i="2"/>
  <c r="G82" i="2"/>
  <c r="AD132" i="2"/>
  <c r="X115" i="2"/>
  <c r="X82" i="2"/>
  <c r="P82" i="2"/>
  <c r="P132" i="2"/>
  <c r="X99" i="2"/>
  <c r="G99" i="2"/>
  <c r="P115" i="2"/>
  <c r="AD115" i="2"/>
  <c r="AD82" i="2"/>
  <c r="BR182" i="2"/>
  <c r="BJ182" i="2"/>
  <c r="AS81" i="2"/>
  <c r="M81" i="2"/>
  <c r="E81" i="2"/>
  <c r="AK81" i="2"/>
  <c r="AC81" i="2"/>
  <c r="U81" i="2"/>
  <c r="BA81" i="2"/>
  <c r="Y321" i="2"/>
  <c r="Z321" i="2" s="1"/>
  <c r="BB134" i="2"/>
  <c r="AE134" i="2"/>
  <c r="W134" i="2"/>
  <c r="W117" i="2"/>
  <c r="AT101" i="2"/>
  <c r="W84" i="2"/>
  <c r="AT134" i="2"/>
  <c r="AL134" i="2"/>
  <c r="BB117" i="2"/>
  <c r="AL117" i="2"/>
  <c r="AE84" i="2"/>
  <c r="AT117" i="2"/>
  <c r="AE101" i="2"/>
  <c r="W101" i="2"/>
  <c r="BB84" i="2"/>
  <c r="AT84" i="2"/>
  <c r="AL84" i="2"/>
  <c r="AE117" i="2"/>
  <c r="AL101" i="2"/>
  <c r="BB101" i="2"/>
  <c r="P223" i="2"/>
  <c r="AB307" i="2"/>
  <c r="AD307" i="2" s="1"/>
  <c r="AA307" i="2"/>
  <c r="N222" i="2"/>
  <c r="C222" i="2"/>
  <c r="C219" i="2"/>
  <c r="BT166" i="2"/>
  <c r="J224" i="2"/>
  <c r="H220" i="2"/>
  <c r="AM168" i="2"/>
  <c r="J223" i="2"/>
  <c r="Q223" i="2"/>
  <c r="G222" i="2"/>
  <c r="G224" i="2"/>
  <c r="G220" i="2"/>
  <c r="G219" i="2"/>
  <c r="J222" i="2"/>
  <c r="R219" i="2"/>
  <c r="AA302" i="2"/>
  <c r="W297" i="2"/>
  <c r="Y297" i="2" s="1"/>
  <c r="Z297" i="2" s="1"/>
  <c r="Y319" i="2"/>
  <c r="AB319" i="2" s="1"/>
  <c r="AD319" i="2" s="1"/>
  <c r="AA308" i="2"/>
  <c r="D219" i="2"/>
  <c r="D222" i="2"/>
  <c r="U222" i="2"/>
  <c r="U219" i="2"/>
  <c r="F221" i="2"/>
  <c r="C221" i="2"/>
  <c r="AJ185" i="2"/>
  <c r="AJ168" i="2"/>
  <c r="AB168" i="2"/>
  <c r="AB185" i="2"/>
  <c r="L185" i="2"/>
  <c r="L168" i="2"/>
  <c r="U224" i="2"/>
  <c r="R224" i="2"/>
  <c r="D224" i="2"/>
  <c r="C220" i="2"/>
  <c r="Q220" i="2"/>
  <c r="AB304" i="2"/>
  <c r="AD304" i="2" s="1"/>
  <c r="AC304" i="2" s="1"/>
  <c r="V222" i="2"/>
  <c r="H223" i="2"/>
  <c r="G223" i="2"/>
  <c r="R223" i="2"/>
  <c r="U223" i="2"/>
  <c r="N224" i="2"/>
  <c r="N220" i="2"/>
  <c r="N221" i="2"/>
  <c r="P222" i="2"/>
  <c r="P219" i="2"/>
  <c r="P221" i="2"/>
  <c r="Q224" i="2"/>
  <c r="BL182" i="2"/>
  <c r="AF182" i="2"/>
  <c r="X182" i="2"/>
  <c r="P182" i="2"/>
  <c r="H182" i="2"/>
  <c r="BD182" i="2"/>
  <c r="AV182" i="2"/>
  <c r="AN182" i="2"/>
  <c r="BR165" i="2"/>
  <c r="AZ165" i="2"/>
  <c r="M165" i="2"/>
  <c r="BJ165" i="2"/>
  <c r="AR165" i="2"/>
  <c r="AK165" i="2"/>
  <c r="AD165" i="2"/>
  <c r="BT182" i="2"/>
  <c r="V165" i="2"/>
  <c r="AN131" i="2"/>
  <c r="BD114" i="2"/>
  <c r="AN98" i="2"/>
  <c r="BD81" i="2"/>
  <c r="D165" i="2"/>
  <c r="AR114" i="2"/>
  <c r="AN114" i="2"/>
  <c r="BD98" i="2"/>
  <c r="BD131" i="2"/>
  <c r="AS98" i="2"/>
  <c r="AN81" i="2"/>
  <c r="AR131" i="2"/>
  <c r="Y323" i="2"/>
  <c r="AA323" i="2" s="1"/>
  <c r="AB101" i="2"/>
  <c r="AR84" i="2"/>
  <c r="L84" i="2"/>
  <c r="AZ101" i="2"/>
  <c r="AR101" i="2"/>
  <c r="AJ101" i="2"/>
  <c r="D84" i="2"/>
  <c r="L101" i="2"/>
  <c r="AB84" i="2"/>
  <c r="T101" i="2"/>
  <c r="AJ84" i="2"/>
  <c r="T84" i="2"/>
  <c r="AZ84" i="2"/>
  <c r="D101" i="2"/>
  <c r="AB313" i="2"/>
  <c r="AD313" i="2" s="1"/>
  <c r="AC313" i="2" s="1"/>
  <c r="L222" i="2"/>
  <c r="L219" i="2"/>
  <c r="K225" i="2"/>
  <c r="AJ181" i="2"/>
  <c r="AB181" i="2"/>
  <c r="L181" i="2"/>
  <c r="AB164" i="2"/>
  <c r="AJ164" i="2"/>
  <c r="L164" i="2"/>
  <c r="O222" i="2"/>
  <c r="O219" i="2"/>
  <c r="O224" i="2"/>
  <c r="O220" i="2"/>
  <c r="AB289" i="2"/>
  <c r="AD289" i="2" s="1"/>
  <c r="Z289" i="2"/>
  <c r="Z307" i="2"/>
  <c r="Y311" i="2"/>
  <c r="AB311" i="2" s="1"/>
  <c r="AD311" i="2" s="1"/>
  <c r="AB186" i="2"/>
  <c r="L169" i="2"/>
  <c r="L186" i="2"/>
  <c r="AJ186" i="2"/>
  <c r="AJ169" i="2"/>
  <c r="AB169" i="2"/>
  <c r="F222" i="2"/>
  <c r="N219" i="2"/>
  <c r="Y325" i="2"/>
  <c r="Z325" i="2" s="1"/>
  <c r="M219" i="2"/>
  <c r="M222" i="2"/>
  <c r="L221" i="2"/>
  <c r="AL183" i="2"/>
  <c r="AD183" i="2"/>
  <c r="V183" i="2"/>
  <c r="BB183" i="2"/>
  <c r="AT183" i="2"/>
  <c r="BB166" i="2"/>
  <c r="AT166" i="2"/>
  <c r="AL166" i="2"/>
  <c r="Y329" i="2"/>
  <c r="AA329" i="2" s="1"/>
  <c r="AA291" i="2"/>
  <c r="AB182" i="2"/>
  <c r="AJ182" i="2"/>
  <c r="L165" i="2"/>
  <c r="AJ165" i="2"/>
  <c r="AB165" i="2"/>
  <c r="L182" i="2"/>
  <c r="M224" i="2"/>
  <c r="F224" i="2"/>
  <c r="H224" i="2"/>
  <c r="P220" i="2"/>
  <c r="AA313" i="2"/>
  <c r="AB308" i="2"/>
  <c r="AD308" i="2" s="1"/>
  <c r="AC308" i="2" s="1"/>
  <c r="Z291" i="2"/>
  <c r="AC291" i="2" s="1"/>
  <c r="L223" i="2"/>
  <c r="O223" i="2"/>
  <c r="W168" i="2" l="1"/>
  <c r="G151" i="2"/>
  <c r="P151" i="2"/>
  <c r="AD151" i="2"/>
  <c r="X151" i="2"/>
  <c r="F135" i="2"/>
  <c r="F102" i="2"/>
  <c r="F118" i="2"/>
  <c r="F85" i="2"/>
  <c r="F152" i="2"/>
  <c r="P150" i="2"/>
  <c r="AD150" i="2"/>
  <c r="G150" i="2"/>
  <c r="X150" i="2"/>
  <c r="N151" i="2"/>
  <c r="V151" i="2"/>
  <c r="BQ203" i="2"/>
  <c r="BA203" i="2"/>
  <c r="AK203" i="2"/>
  <c r="F100" i="2"/>
  <c r="F133" i="2"/>
  <c r="F116" i="2"/>
  <c r="F83" i="2"/>
  <c r="F150" i="2"/>
  <c r="BH201" i="2"/>
  <c r="AR201" i="2"/>
  <c r="BP201" i="2"/>
  <c r="AZ201" i="2"/>
  <c r="P152" i="2"/>
  <c r="AD152" i="2"/>
  <c r="G152" i="2"/>
  <c r="X152" i="2"/>
  <c r="AF147" i="2"/>
  <c r="AM147" i="2"/>
  <c r="BQ202" i="2"/>
  <c r="BA202" i="2"/>
  <c r="AK202" i="2"/>
  <c r="AN147" i="2"/>
  <c r="BD147" i="2"/>
  <c r="AS147" i="2"/>
  <c r="N147" i="2"/>
  <c r="V147" i="2"/>
  <c r="BB203" i="2"/>
  <c r="AL203" i="2"/>
  <c r="V203" i="2"/>
  <c r="AT203" i="2"/>
  <c r="AD203" i="2"/>
  <c r="N203" i="2"/>
  <c r="BQ198" i="2"/>
  <c r="BA198" i="2"/>
  <c r="AK198" i="2"/>
  <c r="X183" i="2"/>
  <c r="AN149" i="2"/>
  <c r="BD149" i="2"/>
  <c r="AS149" i="2"/>
  <c r="F117" i="2"/>
  <c r="F84" i="2"/>
  <c r="F151" i="2"/>
  <c r="F134" i="2"/>
  <c r="F101" i="2"/>
  <c r="BK181" i="2"/>
  <c r="BD198" i="2"/>
  <c r="X198" i="2"/>
  <c r="AV147" i="2"/>
  <c r="BC147" i="2"/>
  <c r="BT198" i="2"/>
  <c r="AN198" i="2"/>
  <c r="H198" i="2"/>
  <c r="BL198" i="2"/>
  <c r="AV198" i="2"/>
  <c r="AF198" i="2"/>
  <c r="P198" i="2"/>
  <c r="O167" i="2"/>
  <c r="AE201" i="2"/>
  <c r="W201" i="2"/>
  <c r="AU150" i="2"/>
  <c r="AE165" i="2"/>
  <c r="AE199" i="2"/>
  <c r="W199" i="2"/>
  <c r="AU148" i="2"/>
  <c r="AT149" i="2"/>
  <c r="W149" i="2"/>
  <c r="BB149" i="2"/>
  <c r="G200" i="2"/>
  <c r="AE149" i="2"/>
  <c r="BK200" i="2"/>
  <c r="AU200" i="2"/>
  <c r="O200" i="2"/>
  <c r="AL149" i="2"/>
  <c r="BS200" i="2"/>
  <c r="BC200" i="2"/>
  <c r="AM200" i="2"/>
  <c r="W152" i="2"/>
  <c r="BS203" i="2"/>
  <c r="BK203" i="2"/>
  <c r="BC203" i="2"/>
  <c r="AU203" i="2"/>
  <c r="AM203" i="2"/>
  <c r="O203" i="2"/>
  <c r="AT152" i="2"/>
  <c r="AE152" i="2"/>
  <c r="AL152" i="2"/>
  <c r="BB152" i="2"/>
  <c r="G203" i="2"/>
  <c r="T183" i="2"/>
  <c r="U149" i="2"/>
  <c r="BA149" i="2"/>
  <c r="AK149" i="2"/>
  <c r="AC149" i="2"/>
  <c r="T200" i="2"/>
  <c r="D200" i="2"/>
  <c r="E149" i="2"/>
  <c r="M149" i="2"/>
  <c r="AS200" i="2"/>
  <c r="U181" i="2"/>
  <c r="E198" i="2"/>
  <c r="AC198" i="2"/>
  <c r="M198" i="2"/>
  <c r="U198" i="2"/>
  <c r="BC183" i="2"/>
  <c r="BT200" i="2"/>
  <c r="AN200" i="2"/>
  <c r="H200" i="2"/>
  <c r="AV149" i="2"/>
  <c r="BC149" i="2"/>
  <c r="BD200" i="2"/>
  <c r="X200" i="2"/>
  <c r="BL200" i="2"/>
  <c r="AV200" i="2"/>
  <c r="AF200" i="2"/>
  <c r="P200" i="2"/>
  <c r="O168" i="2"/>
  <c r="AU151" i="2"/>
  <c r="W202" i="2"/>
  <c r="AE202" i="2"/>
  <c r="BP203" i="2"/>
  <c r="BH203" i="2"/>
  <c r="AZ203" i="2"/>
  <c r="AR203" i="2"/>
  <c r="F113" i="2"/>
  <c r="F80" i="2"/>
  <c r="F147" i="2"/>
  <c r="F130" i="2"/>
  <c r="F97" i="2"/>
  <c r="G147" i="2"/>
  <c r="P147" i="2"/>
  <c r="AD147" i="2"/>
  <c r="X147" i="2"/>
  <c r="AF150" i="2"/>
  <c r="AM150" i="2"/>
  <c r="AN151" i="2"/>
  <c r="AS151" i="2"/>
  <c r="BD151" i="2"/>
  <c r="AV150" i="2"/>
  <c r="BC150" i="2"/>
  <c r="AV201" i="2"/>
  <c r="P201" i="2"/>
  <c r="BL201" i="2"/>
  <c r="AF201" i="2"/>
  <c r="BT201" i="2"/>
  <c r="BD201" i="2"/>
  <c r="AN201" i="2"/>
  <c r="X201" i="2"/>
  <c r="H201" i="2"/>
  <c r="BR203" i="2"/>
  <c r="BJ203" i="2"/>
  <c r="AS150" i="2"/>
  <c r="BD150" i="2"/>
  <c r="AN150" i="2"/>
  <c r="AC201" i="2"/>
  <c r="U201" i="2"/>
  <c r="M201" i="2"/>
  <c r="E201" i="2"/>
  <c r="AT201" i="2"/>
  <c r="AD201" i="2"/>
  <c r="N201" i="2"/>
  <c r="BB201" i="2"/>
  <c r="AL201" i="2"/>
  <c r="V201" i="2"/>
  <c r="AU117" i="2"/>
  <c r="AE168" i="2"/>
  <c r="O149" i="2"/>
  <c r="H149" i="2"/>
  <c r="E117" i="2"/>
  <c r="BI202" i="2"/>
  <c r="N148" i="2"/>
  <c r="V148" i="2"/>
  <c r="E84" i="2"/>
  <c r="BR202" i="2"/>
  <c r="BJ202" i="2"/>
  <c r="BC169" i="2"/>
  <c r="AE203" i="2"/>
  <c r="W203" i="2"/>
  <c r="AU152" i="2"/>
  <c r="AT133" i="2"/>
  <c r="W150" i="2"/>
  <c r="AT150" i="2"/>
  <c r="AL150" i="2"/>
  <c r="BS201" i="2"/>
  <c r="BK201" i="2"/>
  <c r="BC201" i="2"/>
  <c r="AU201" i="2"/>
  <c r="AM201" i="2"/>
  <c r="O201" i="2"/>
  <c r="AE150" i="2"/>
  <c r="BB150" i="2"/>
  <c r="G201" i="2"/>
  <c r="T181" i="2"/>
  <c r="U147" i="2"/>
  <c r="BA147" i="2"/>
  <c r="AK147" i="2"/>
  <c r="T198" i="2"/>
  <c r="AC147" i="2"/>
  <c r="E147" i="2"/>
  <c r="M147" i="2"/>
  <c r="AS198" i="2"/>
  <c r="D198" i="2"/>
  <c r="BA99" i="2"/>
  <c r="BI200" i="2"/>
  <c r="AZ182" i="2"/>
  <c r="BH199" i="2"/>
  <c r="AR199" i="2"/>
  <c r="BP199" i="2"/>
  <c r="AZ199" i="2"/>
  <c r="BB131" i="2"/>
  <c r="W148" i="2"/>
  <c r="AT148" i="2"/>
  <c r="AE148" i="2"/>
  <c r="AL148" i="2"/>
  <c r="BS199" i="2"/>
  <c r="BK199" i="2"/>
  <c r="BC199" i="2"/>
  <c r="AU199" i="2"/>
  <c r="AM199" i="2"/>
  <c r="O199" i="2"/>
  <c r="BB148" i="2"/>
  <c r="G199" i="2"/>
  <c r="N133" i="2"/>
  <c r="N150" i="2"/>
  <c r="V150" i="2"/>
  <c r="AB147" i="2"/>
  <c r="D147" i="2"/>
  <c r="L147" i="2"/>
  <c r="AR147" i="2"/>
  <c r="AJ147" i="2"/>
  <c r="T147" i="2"/>
  <c r="F198" i="2"/>
  <c r="AZ147" i="2"/>
  <c r="O152" i="2"/>
  <c r="H152" i="2"/>
  <c r="N152" i="2"/>
  <c r="V152" i="2"/>
  <c r="BJ201" i="2"/>
  <c r="BR201" i="2"/>
  <c r="BB198" i="2"/>
  <c r="AT198" i="2"/>
  <c r="AL198" i="2"/>
  <c r="AD198" i="2"/>
  <c r="V198" i="2"/>
  <c r="N198" i="2"/>
  <c r="H151" i="2"/>
  <c r="O151" i="2"/>
  <c r="BQ199" i="2"/>
  <c r="BA199" i="2"/>
  <c r="AK199" i="2"/>
  <c r="AF151" i="2"/>
  <c r="AM151" i="2"/>
  <c r="BQ200" i="2"/>
  <c r="BA200" i="2"/>
  <c r="AK200" i="2"/>
  <c r="H147" i="2"/>
  <c r="O147" i="2"/>
  <c r="BI186" i="2"/>
  <c r="BI203" i="2"/>
  <c r="N186" i="2"/>
  <c r="D152" i="2"/>
  <c r="L152" i="2"/>
  <c r="AR152" i="2"/>
  <c r="F203" i="2"/>
  <c r="AB152" i="2"/>
  <c r="T152" i="2"/>
  <c r="AZ152" i="2"/>
  <c r="AJ152" i="2"/>
  <c r="AT147" i="2"/>
  <c r="W147" i="2"/>
  <c r="G198" i="2"/>
  <c r="BB147" i="2"/>
  <c r="AE147" i="2"/>
  <c r="BK198" i="2"/>
  <c r="AU198" i="2"/>
  <c r="O198" i="2"/>
  <c r="AL147" i="2"/>
  <c r="BS198" i="2"/>
  <c r="BC198" i="2"/>
  <c r="AM198" i="2"/>
  <c r="AK148" i="2"/>
  <c r="U148" i="2"/>
  <c r="BA148" i="2"/>
  <c r="E148" i="2"/>
  <c r="AS199" i="2"/>
  <c r="D199" i="2"/>
  <c r="M148" i="2"/>
  <c r="AC148" i="2"/>
  <c r="T199" i="2"/>
  <c r="F131" i="2"/>
  <c r="F98" i="2"/>
  <c r="F148" i="2"/>
  <c r="F81" i="2"/>
  <c r="F114" i="2"/>
  <c r="AZ181" i="2"/>
  <c r="BP198" i="2"/>
  <c r="BH198" i="2"/>
  <c r="AZ198" i="2"/>
  <c r="AR198" i="2"/>
  <c r="BI182" i="2"/>
  <c r="BI199" i="2"/>
  <c r="M100" i="2"/>
  <c r="BI201" i="2"/>
  <c r="AB151" i="2"/>
  <c r="D151" i="2"/>
  <c r="L151" i="2"/>
  <c r="AR151" i="2"/>
  <c r="AJ151" i="2"/>
  <c r="T151" i="2"/>
  <c r="F202" i="2"/>
  <c r="AZ151" i="2"/>
  <c r="AF148" i="2"/>
  <c r="AM148" i="2"/>
  <c r="AB149" i="2"/>
  <c r="D149" i="2"/>
  <c r="L149" i="2"/>
  <c r="AR149" i="2"/>
  <c r="AJ149" i="2"/>
  <c r="AZ149" i="2"/>
  <c r="T149" i="2"/>
  <c r="F200" i="2"/>
  <c r="P148" i="2"/>
  <c r="AD148" i="2"/>
  <c r="G148" i="2"/>
  <c r="X148" i="2"/>
  <c r="D150" i="2"/>
  <c r="L150" i="2"/>
  <c r="AR150" i="2"/>
  <c r="AB150" i="2"/>
  <c r="AZ150" i="2"/>
  <c r="F201" i="2"/>
  <c r="T150" i="2"/>
  <c r="AJ150" i="2"/>
  <c r="AF149" i="2"/>
  <c r="AM149" i="2"/>
  <c r="BB202" i="2"/>
  <c r="AT202" i="2"/>
  <c r="AL202" i="2"/>
  <c r="AD202" i="2"/>
  <c r="V202" i="2"/>
  <c r="N202" i="2"/>
  <c r="H148" i="2"/>
  <c r="O148" i="2"/>
  <c r="AS152" i="2"/>
  <c r="BD152" i="2"/>
  <c r="AN152" i="2"/>
  <c r="BP200" i="2"/>
  <c r="BH200" i="2"/>
  <c r="AZ200" i="2"/>
  <c r="AR200" i="2"/>
  <c r="BR198" i="2"/>
  <c r="BJ198" i="2"/>
  <c r="BB199" i="2"/>
  <c r="AL199" i="2"/>
  <c r="V199" i="2"/>
  <c r="AT199" i="2"/>
  <c r="AD199" i="2"/>
  <c r="N199" i="2"/>
  <c r="E202" i="2"/>
  <c r="U202" i="2"/>
  <c r="AC202" i="2"/>
  <c r="M202" i="2"/>
  <c r="BC168" i="2"/>
  <c r="AC203" i="2"/>
  <c r="U203" i="2"/>
  <c r="M203" i="2"/>
  <c r="E203" i="2"/>
  <c r="BQ201" i="2"/>
  <c r="BA201" i="2"/>
  <c r="AK201" i="2"/>
  <c r="H150" i="2"/>
  <c r="O150" i="2"/>
  <c r="AM186" i="2"/>
  <c r="AV152" i="2"/>
  <c r="BC152" i="2"/>
  <c r="BL203" i="2"/>
  <c r="AF203" i="2"/>
  <c r="AV203" i="2"/>
  <c r="P203" i="2"/>
  <c r="BT203" i="2"/>
  <c r="BD203" i="2"/>
  <c r="AN203" i="2"/>
  <c r="X203" i="2"/>
  <c r="H203" i="2"/>
  <c r="BA82" i="2"/>
  <c r="BR200" i="2"/>
  <c r="BJ200" i="2"/>
  <c r="O166" i="2"/>
  <c r="AU149" i="2"/>
  <c r="AE200" i="2"/>
  <c r="W200" i="2"/>
  <c r="M183" i="2"/>
  <c r="E200" i="2"/>
  <c r="U200" i="2"/>
  <c r="AC200" i="2"/>
  <c r="M200" i="2"/>
  <c r="AS168" i="2"/>
  <c r="U151" i="2"/>
  <c r="BA151" i="2"/>
  <c r="AK151" i="2"/>
  <c r="AS202" i="2"/>
  <c r="T202" i="2"/>
  <c r="AC151" i="2"/>
  <c r="D202" i="2"/>
  <c r="E151" i="2"/>
  <c r="M151" i="2"/>
  <c r="T184" i="2"/>
  <c r="AK150" i="2"/>
  <c r="U150" i="2"/>
  <c r="BA150" i="2"/>
  <c r="M150" i="2"/>
  <c r="E150" i="2"/>
  <c r="AS201" i="2"/>
  <c r="D201" i="2"/>
  <c r="AC150" i="2"/>
  <c r="T201" i="2"/>
  <c r="O185" i="2"/>
  <c r="BD202" i="2"/>
  <c r="X202" i="2"/>
  <c r="AV151" i="2"/>
  <c r="BC151" i="2"/>
  <c r="BT202" i="2"/>
  <c r="AN202" i="2"/>
  <c r="H202" i="2"/>
  <c r="BL202" i="2"/>
  <c r="AV202" i="2"/>
  <c r="AF202" i="2"/>
  <c r="P202" i="2"/>
  <c r="E98" i="2"/>
  <c r="AU168" i="2"/>
  <c r="BS168" i="2"/>
  <c r="G168" i="2"/>
  <c r="BK168" i="2"/>
  <c r="AU84" i="2"/>
  <c r="AU134" i="2"/>
  <c r="T130" i="2"/>
  <c r="Z322" i="2"/>
  <c r="AC322" i="2" s="1"/>
  <c r="BB118" i="2"/>
  <c r="W82" i="2"/>
  <c r="AK100" i="2"/>
  <c r="AB328" i="2"/>
  <c r="AD328" i="2" s="1"/>
  <c r="BA116" i="2"/>
  <c r="Z328" i="2"/>
  <c r="Z324" i="2"/>
  <c r="N169" i="2"/>
  <c r="AU131" i="2"/>
  <c r="W80" i="2"/>
  <c r="AJ130" i="2"/>
  <c r="BB115" i="2"/>
  <c r="W115" i="2"/>
  <c r="BA100" i="2"/>
  <c r="AC116" i="2"/>
  <c r="BS183" i="2"/>
  <c r="AU133" i="2"/>
  <c r="AT132" i="2"/>
  <c r="AL115" i="2"/>
  <c r="M116" i="2"/>
  <c r="AS116" i="2"/>
  <c r="BI167" i="2"/>
  <c r="BK165" i="2"/>
  <c r="G183" i="2"/>
  <c r="AU83" i="2"/>
  <c r="AE132" i="2"/>
  <c r="E116" i="2"/>
  <c r="G165" i="2"/>
  <c r="AE99" i="2"/>
  <c r="AT82" i="2"/>
  <c r="AC100" i="2"/>
  <c r="U116" i="2"/>
  <c r="BI184" i="2"/>
  <c r="BB114" i="2"/>
  <c r="BC132" i="2"/>
  <c r="AU100" i="2"/>
  <c r="Z326" i="2"/>
  <c r="AC326" i="2" s="1"/>
  <c r="AC114" i="2"/>
  <c r="AA326" i="2"/>
  <c r="BH164" i="2"/>
  <c r="M114" i="2"/>
  <c r="AZ113" i="2"/>
  <c r="AS132" i="2"/>
  <c r="X169" i="2"/>
  <c r="AL99" i="2"/>
  <c r="BB132" i="2"/>
  <c r="AT115" i="2"/>
  <c r="U100" i="2"/>
  <c r="E100" i="2"/>
  <c r="O165" i="2"/>
  <c r="AU165" i="2"/>
  <c r="U164" i="2"/>
  <c r="AV132" i="2"/>
  <c r="AE183" i="2"/>
  <c r="BH181" i="2"/>
  <c r="BC167" i="2"/>
  <c r="W167" i="2"/>
  <c r="AE167" i="2"/>
  <c r="BK167" i="2"/>
  <c r="BK185" i="2"/>
  <c r="T185" i="2"/>
  <c r="AS167" i="2"/>
  <c r="BJ183" i="2"/>
  <c r="BS186" i="2"/>
  <c r="AU81" i="2"/>
  <c r="BC165" i="2"/>
  <c r="AC181" i="2"/>
  <c r="BA117" i="2"/>
  <c r="W183" i="2"/>
  <c r="AU116" i="2"/>
  <c r="AZ102" i="2"/>
  <c r="D131" i="2"/>
  <c r="AV85" i="2"/>
  <c r="AT81" i="2"/>
  <c r="AB114" i="2"/>
  <c r="BL169" i="2"/>
  <c r="BB98" i="2"/>
  <c r="AC115" i="2"/>
  <c r="M98" i="2"/>
  <c r="AS114" i="2"/>
  <c r="D130" i="2"/>
  <c r="AZ130" i="2"/>
  <c r="BP181" i="2"/>
  <c r="U114" i="2"/>
  <c r="U98" i="2"/>
  <c r="AK114" i="2"/>
  <c r="BI165" i="2"/>
  <c r="AU185" i="2"/>
  <c r="AE113" i="2"/>
  <c r="V81" i="2"/>
  <c r="D113" i="2"/>
  <c r="L130" i="2"/>
  <c r="L113" i="2"/>
  <c r="AR181" i="2"/>
  <c r="AK98" i="2"/>
  <c r="E114" i="2"/>
  <c r="T113" i="2"/>
  <c r="BP164" i="2"/>
  <c r="BA98" i="2"/>
  <c r="BA114" i="2"/>
  <c r="AC98" i="2"/>
  <c r="BC134" i="2"/>
  <c r="AL97" i="2"/>
  <c r="V131" i="2"/>
  <c r="F186" i="2"/>
  <c r="U183" i="2"/>
  <c r="AB113" i="2"/>
  <c r="AJ113" i="2"/>
  <c r="AB130" i="2"/>
  <c r="M131" i="2"/>
  <c r="G167" i="2"/>
  <c r="AV164" i="2"/>
  <c r="AR182" i="2"/>
  <c r="AT131" i="2"/>
  <c r="BK166" i="2"/>
  <c r="AU118" i="2"/>
  <c r="BC117" i="2"/>
  <c r="AM185" i="2"/>
  <c r="BJ166" i="2"/>
  <c r="AT100" i="2"/>
  <c r="N100" i="2"/>
  <c r="AK99" i="2"/>
  <c r="L114" i="2"/>
  <c r="W131" i="2"/>
  <c r="AV168" i="2"/>
  <c r="AZ166" i="2"/>
  <c r="E115" i="2"/>
  <c r="E99" i="2"/>
  <c r="BS166" i="2"/>
  <c r="AV84" i="2"/>
  <c r="H168" i="2"/>
  <c r="X168" i="2"/>
  <c r="D166" i="2"/>
  <c r="X15" i="2"/>
  <c r="Y15" i="2" s="1"/>
  <c r="V27" i="2" s="1"/>
  <c r="AK133" i="2"/>
  <c r="W185" i="2"/>
  <c r="BT183" i="2"/>
  <c r="T168" i="2"/>
  <c r="T167" i="2"/>
  <c r="BC101" i="2"/>
  <c r="AV134" i="2"/>
  <c r="BT168" i="2"/>
  <c r="BS185" i="2"/>
  <c r="AR115" i="2"/>
  <c r="AS99" i="2"/>
  <c r="AV183" i="2"/>
  <c r="AB102" i="2"/>
  <c r="V290" i="2"/>
  <c r="V295" i="2" s="1"/>
  <c r="V83" i="2"/>
  <c r="AC298" i="2"/>
  <c r="BC166" i="2"/>
  <c r="AV101" i="2"/>
  <c r="BC84" i="2"/>
  <c r="BL168" i="2"/>
  <c r="AF168" i="2"/>
  <c r="P168" i="2"/>
  <c r="BD168" i="2"/>
  <c r="AN82" i="2"/>
  <c r="BD115" i="2"/>
  <c r="H183" i="2"/>
  <c r="T85" i="2"/>
  <c r="U134" i="2"/>
  <c r="U133" i="2"/>
  <c r="AU99" i="2"/>
  <c r="G185" i="2"/>
  <c r="AV117" i="2"/>
  <c r="AN168" i="2"/>
  <c r="BC185" i="2"/>
  <c r="AE185" i="2"/>
  <c r="AN99" i="2"/>
  <c r="BR166" i="2"/>
  <c r="AK166" i="2"/>
  <c r="BD183" i="2"/>
  <c r="M84" i="2"/>
  <c r="AT118" i="2"/>
  <c r="U132" i="2"/>
  <c r="AS183" i="2"/>
  <c r="AV130" i="2"/>
  <c r="AF164" i="2"/>
  <c r="E181" i="2"/>
  <c r="W290" i="2"/>
  <c r="AU102" i="2"/>
  <c r="AV82" i="2"/>
  <c r="BL166" i="2"/>
  <c r="X166" i="2"/>
  <c r="P166" i="2"/>
  <c r="AM183" i="2"/>
  <c r="BK183" i="2"/>
  <c r="AT83" i="2"/>
  <c r="V100" i="2"/>
  <c r="V116" i="2"/>
  <c r="AT135" i="2"/>
  <c r="E132" i="2"/>
  <c r="BC113" i="2"/>
  <c r="BC181" i="2"/>
  <c r="AC164" i="2"/>
  <c r="M181" i="2"/>
  <c r="BS169" i="2"/>
  <c r="BC115" i="2"/>
  <c r="AV99" i="2"/>
  <c r="AF166" i="2"/>
  <c r="H166" i="2"/>
  <c r="AV166" i="2"/>
  <c r="AU183" i="2"/>
  <c r="AT116" i="2"/>
  <c r="V133" i="2"/>
  <c r="BB85" i="2"/>
  <c r="AL85" i="2"/>
  <c r="H164" i="2"/>
  <c r="AU181" i="2"/>
  <c r="E164" i="2"/>
  <c r="W169" i="2"/>
  <c r="BC82" i="2"/>
  <c r="AV115" i="2"/>
  <c r="BC99" i="2"/>
  <c r="BD166" i="2"/>
  <c r="AN166" i="2"/>
  <c r="O183" i="2"/>
  <c r="W100" i="2"/>
  <c r="AL100" i="2"/>
  <c r="N83" i="2"/>
  <c r="N116" i="2"/>
  <c r="E134" i="2"/>
  <c r="W102" i="2"/>
  <c r="AE135" i="2"/>
  <c r="AE118" i="2"/>
  <c r="U118" i="2"/>
  <c r="D184" i="2"/>
  <c r="T166" i="2"/>
  <c r="D183" i="2"/>
  <c r="BC80" i="2"/>
  <c r="X164" i="2"/>
  <c r="W181" i="2"/>
  <c r="AJ114" i="2"/>
  <c r="T114" i="2"/>
  <c r="BH182" i="2"/>
  <c r="BC135" i="2"/>
  <c r="AL98" i="2"/>
  <c r="AL114" i="2"/>
  <c r="I225" i="2"/>
  <c r="AM166" i="2"/>
  <c r="G169" i="2"/>
  <c r="AM169" i="2"/>
  <c r="AK84" i="2"/>
  <c r="W133" i="2"/>
  <c r="AL133" i="2"/>
  <c r="BB133" i="2"/>
  <c r="AR102" i="2"/>
  <c r="AJ85" i="2"/>
  <c r="AC166" i="2"/>
  <c r="AA322" i="2"/>
  <c r="AK134" i="2"/>
  <c r="D185" i="2"/>
  <c r="T225" i="2"/>
  <c r="AL102" i="2"/>
  <c r="W135" i="2"/>
  <c r="E133" i="2"/>
  <c r="AS184" i="2"/>
  <c r="BA132" i="2"/>
  <c r="AS166" i="2"/>
  <c r="AS82" i="2"/>
  <c r="BC97" i="2"/>
  <c r="BT164" i="2"/>
  <c r="BS181" i="2"/>
  <c r="T131" i="2"/>
  <c r="BH165" i="2"/>
  <c r="AV118" i="2"/>
  <c r="P169" i="2"/>
  <c r="W81" i="2"/>
  <c r="W98" i="2"/>
  <c r="AE81" i="2"/>
  <c r="AU115" i="2"/>
  <c r="AU166" i="2"/>
  <c r="O169" i="2"/>
  <c r="AE83" i="2"/>
  <c r="AE133" i="2"/>
  <c r="BB83" i="2"/>
  <c r="L102" i="2"/>
  <c r="D102" i="2"/>
  <c r="E183" i="2"/>
  <c r="AS134" i="2"/>
  <c r="M134" i="2"/>
  <c r="AS185" i="2"/>
  <c r="AE102" i="2"/>
  <c r="W85" i="2"/>
  <c r="AT102" i="2"/>
  <c r="AL135" i="2"/>
  <c r="AE85" i="2"/>
  <c r="AL118" i="2"/>
  <c r="AC102" i="2"/>
  <c r="AC133" i="2"/>
  <c r="AK132" i="2"/>
  <c r="AK82" i="2"/>
  <c r="BC130" i="2"/>
  <c r="AV113" i="2"/>
  <c r="AE181" i="2"/>
  <c r="AN164" i="2"/>
  <c r="G181" i="2"/>
  <c r="AM181" i="2"/>
  <c r="O181" i="2"/>
  <c r="L131" i="2"/>
  <c r="AZ131" i="2"/>
  <c r="AZ114" i="2"/>
  <c r="BP182" i="2"/>
  <c r="BC85" i="2"/>
  <c r="W186" i="2"/>
  <c r="G186" i="2"/>
  <c r="BA101" i="2"/>
  <c r="BB81" i="2"/>
  <c r="AE131" i="2"/>
  <c r="AL131" i="2"/>
  <c r="AE114" i="2"/>
  <c r="AU82" i="2"/>
  <c r="AU132" i="2"/>
  <c r="W166" i="2"/>
  <c r="BK169" i="2"/>
  <c r="AU169" i="2"/>
  <c r="S225" i="2"/>
  <c r="AC84" i="2"/>
  <c r="W83" i="2"/>
  <c r="AL116" i="2"/>
  <c r="AL83" i="2"/>
  <c r="AE100" i="2"/>
  <c r="L85" i="2"/>
  <c r="AB85" i="2"/>
  <c r="AZ85" i="2"/>
  <c r="U166" i="2"/>
  <c r="AC183" i="2"/>
  <c r="BA134" i="2"/>
  <c r="AC134" i="2"/>
  <c r="AT85" i="2"/>
  <c r="W118" i="2"/>
  <c r="BB135" i="2"/>
  <c r="BB102" i="2"/>
  <c r="AC118" i="2"/>
  <c r="M133" i="2"/>
  <c r="AS133" i="2"/>
  <c r="BA133" i="2"/>
  <c r="AC132" i="2"/>
  <c r="M132" i="2"/>
  <c r="U82" i="2"/>
  <c r="AV97" i="2"/>
  <c r="AV80" i="2"/>
  <c r="P164" i="2"/>
  <c r="BD164" i="2"/>
  <c r="BL164" i="2"/>
  <c r="BP165" i="2"/>
  <c r="D114" i="2"/>
  <c r="AB131" i="2"/>
  <c r="AJ131" i="2"/>
  <c r="H169" i="2"/>
  <c r="O186" i="2"/>
  <c r="AU186" i="2"/>
  <c r="AT114" i="2"/>
  <c r="AT98" i="2"/>
  <c r="AE98" i="2"/>
  <c r="W114" i="2"/>
  <c r="AL81" i="2"/>
  <c r="AE166" i="2"/>
  <c r="G166" i="2"/>
  <c r="AU85" i="2"/>
  <c r="AU135" i="2"/>
  <c r="AE169" i="2"/>
  <c r="AA294" i="2"/>
  <c r="BR185" i="2"/>
  <c r="W116" i="2"/>
  <c r="BB100" i="2"/>
  <c r="AE116" i="2"/>
  <c r="BB116" i="2"/>
  <c r="D85" i="2"/>
  <c r="T102" i="2"/>
  <c r="AR85" i="2"/>
  <c r="E166" i="2"/>
  <c r="BA118" i="2"/>
  <c r="E102" i="2"/>
  <c r="BI169" i="2"/>
  <c r="M118" i="2"/>
  <c r="AS117" i="2"/>
  <c r="AK117" i="2"/>
  <c r="T164" i="2"/>
  <c r="BA130" i="2"/>
  <c r="AS181" i="2"/>
  <c r="AL80" i="2"/>
  <c r="AL113" i="2"/>
  <c r="W113" i="2"/>
  <c r="AB327" i="2"/>
  <c r="AD327" i="2" s="1"/>
  <c r="AK115" i="2"/>
  <c r="M99" i="2"/>
  <c r="AK131" i="2"/>
  <c r="U131" i="2"/>
  <c r="AK102" i="2"/>
  <c r="M102" i="2"/>
  <c r="E118" i="2"/>
  <c r="AS118" i="2"/>
  <c r="AB324" i="2"/>
  <c r="AD324" i="2" s="1"/>
  <c r="U117" i="2"/>
  <c r="BI185" i="2"/>
  <c r="E225" i="2"/>
  <c r="E130" i="2"/>
  <c r="AS164" i="2"/>
  <c r="BB130" i="2"/>
  <c r="BB113" i="2"/>
  <c r="BA115" i="2"/>
  <c r="U99" i="2"/>
  <c r="BI183" i="2"/>
  <c r="M115" i="2"/>
  <c r="BA102" i="2"/>
  <c r="U102" i="2"/>
  <c r="AK118" i="2"/>
  <c r="AC307" i="2"/>
  <c r="M101" i="2"/>
  <c r="AC117" i="2"/>
  <c r="M130" i="2"/>
  <c r="AB323" i="2"/>
  <c r="AD323" i="2" s="1"/>
  <c r="AE97" i="2"/>
  <c r="AL130" i="2"/>
  <c r="AS115" i="2"/>
  <c r="AC99" i="2"/>
  <c r="AS131" i="2"/>
  <c r="AS182" i="2"/>
  <c r="BI166" i="2"/>
  <c r="T182" i="2"/>
  <c r="U115" i="2"/>
  <c r="Z294" i="2"/>
  <c r="AC294" i="2" s="1"/>
  <c r="M82" i="2"/>
  <c r="E82" i="2"/>
  <c r="BR183" i="2"/>
  <c r="BB99" i="2"/>
  <c r="AL82" i="2"/>
  <c r="W132" i="2"/>
  <c r="AL132" i="2"/>
  <c r="AM165" i="2"/>
  <c r="W165" i="2"/>
  <c r="AS130" i="2"/>
  <c r="D181" i="2"/>
  <c r="W97" i="2"/>
  <c r="BB80" i="2"/>
  <c r="AT113" i="2"/>
  <c r="W130" i="2"/>
  <c r="AT130" i="2"/>
  <c r="AN115" i="2"/>
  <c r="AN183" i="2"/>
  <c r="AR132" i="2"/>
  <c r="BD132" i="2"/>
  <c r="V166" i="2"/>
  <c r="AR166" i="2"/>
  <c r="BL183" i="2"/>
  <c r="BA84" i="2"/>
  <c r="U84" i="2"/>
  <c r="BJ185" i="2"/>
  <c r="N131" i="2"/>
  <c r="D182" i="2"/>
  <c r="AC131" i="2"/>
  <c r="E131" i="2"/>
  <c r="AM167" i="2"/>
  <c r="BS167" i="2"/>
  <c r="AU167" i="2"/>
  <c r="T165" i="2"/>
  <c r="AS165" i="2"/>
  <c r="AC82" i="2"/>
  <c r="AC289" i="2"/>
  <c r="BB82" i="2"/>
  <c r="AT99" i="2"/>
  <c r="AE82" i="2"/>
  <c r="AE115" i="2"/>
  <c r="W99" i="2"/>
  <c r="AU114" i="2"/>
  <c r="AU98" i="2"/>
  <c r="BS165" i="2"/>
  <c r="AC130" i="2"/>
  <c r="AK130" i="2"/>
  <c r="U130" i="2"/>
  <c r="AT80" i="2"/>
  <c r="AE80" i="2"/>
  <c r="BB97" i="2"/>
  <c r="AE130" i="2"/>
  <c r="AT97" i="2"/>
  <c r="BD99" i="2"/>
  <c r="BD82" i="2"/>
  <c r="P183" i="2"/>
  <c r="AN132" i="2"/>
  <c r="M166" i="2"/>
  <c r="AD166" i="2"/>
  <c r="AF183" i="2"/>
  <c r="AS84" i="2"/>
  <c r="N114" i="2"/>
  <c r="BA131" i="2"/>
  <c r="Z330" i="2"/>
  <c r="AA330" i="2"/>
  <c r="Z323" i="2"/>
  <c r="AV102" i="2"/>
  <c r="BC118" i="2"/>
  <c r="AF169" i="2"/>
  <c r="BC186" i="2"/>
  <c r="BT169" i="2"/>
  <c r="AV169" i="2"/>
  <c r="E101" i="2"/>
  <c r="AC101" i="2"/>
  <c r="U101" i="2"/>
  <c r="BI168" i="2"/>
  <c r="AB321" i="2"/>
  <c r="AD321" i="2" s="1"/>
  <c r="AC321" i="2" s="1"/>
  <c r="AA321" i="2"/>
  <c r="N81" i="2"/>
  <c r="V98" i="2"/>
  <c r="F169" i="2"/>
  <c r="AB330" i="2"/>
  <c r="AD330" i="2" s="1"/>
  <c r="AB318" i="2"/>
  <c r="AD318" i="2" s="1"/>
  <c r="Z318" i="2"/>
  <c r="AN169" i="2"/>
  <c r="BC102" i="2"/>
  <c r="AE186" i="2"/>
  <c r="AV135" i="2"/>
  <c r="BD169" i="2"/>
  <c r="BK186" i="2"/>
  <c r="AK101" i="2"/>
  <c r="M117" i="2"/>
  <c r="V225" i="2"/>
  <c r="V114" i="2"/>
  <c r="N98" i="2"/>
  <c r="AA320" i="2"/>
  <c r="AB320" i="2"/>
  <c r="AD320" i="2" s="1"/>
  <c r="AC320" i="2" s="1"/>
  <c r="AR184" i="2"/>
  <c r="BH167" i="2"/>
  <c r="BP184" i="2"/>
  <c r="BH184" i="2"/>
  <c r="AZ184" i="2"/>
  <c r="AB133" i="2"/>
  <c r="T133" i="2"/>
  <c r="L133" i="2"/>
  <c r="D133" i="2"/>
  <c r="AJ116" i="2"/>
  <c r="D116" i="2"/>
  <c r="BP167" i="2"/>
  <c r="AZ133" i="2"/>
  <c r="AJ133" i="2"/>
  <c r="AB116" i="2"/>
  <c r="T116" i="2"/>
  <c r="AZ116" i="2"/>
  <c r="L116" i="2"/>
  <c r="AJ170" i="2"/>
  <c r="AB329" i="2"/>
  <c r="AD329" i="2" s="1"/>
  <c r="BQ185" i="2"/>
  <c r="BQ168" i="2"/>
  <c r="BA168" i="2"/>
  <c r="BA185" i="2"/>
  <c r="AK185" i="2"/>
  <c r="Z329" i="2"/>
  <c r="E184" i="2"/>
  <c r="M184" i="2"/>
  <c r="AC167" i="2"/>
  <c r="U167" i="2"/>
  <c r="U184" i="2"/>
  <c r="E167" i="2"/>
  <c r="AC184" i="2"/>
  <c r="BA182" i="2"/>
  <c r="BQ182" i="2"/>
  <c r="AK182" i="2"/>
  <c r="BQ165" i="2"/>
  <c r="BA165" i="2"/>
  <c r="O132" i="2"/>
  <c r="H132" i="2"/>
  <c r="H99" i="2"/>
  <c r="H82" i="2"/>
  <c r="H115" i="2"/>
  <c r="O99" i="2"/>
  <c r="O82" i="2"/>
  <c r="O115" i="2"/>
  <c r="F225" i="2"/>
  <c r="Q225" i="2"/>
  <c r="O113" i="2"/>
  <c r="O97" i="2"/>
  <c r="H80" i="2"/>
  <c r="H130" i="2"/>
  <c r="O80" i="2"/>
  <c r="H113" i="2"/>
  <c r="O130" i="2"/>
  <c r="H97" i="2"/>
  <c r="Y8" i="2"/>
  <c r="V22" i="2" s="1"/>
  <c r="V331" i="2" s="1"/>
  <c r="Y9" i="2"/>
  <c r="V23" i="2" s="1"/>
  <c r="X331" i="2" s="1"/>
  <c r="Y5" i="2"/>
  <c r="F168" i="2"/>
  <c r="N185" i="2"/>
  <c r="F185" i="2"/>
  <c r="N168" i="2"/>
  <c r="M225" i="2"/>
  <c r="AA325" i="2"/>
  <c r="Z311" i="2"/>
  <c r="AC311" i="2" s="1"/>
  <c r="G133" i="2"/>
  <c r="X100" i="2"/>
  <c r="X133" i="2"/>
  <c r="P133" i="2"/>
  <c r="G116" i="2"/>
  <c r="AD100" i="2"/>
  <c r="AD83" i="2"/>
  <c r="AD116" i="2"/>
  <c r="P116" i="2"/>
  <c r="AD133" i="2"/>
  <c r="P100" i="2"/>
  <c r="P83" i="2"/>
  <c r="X116" i="2"/>
  <c r="X83" i="2"/>
  <c r="G83" i="2"/>
  <c r="G100" i="2"/>
  <c r="AB170" i="2"/>
  <c r="J225" i="2"/>
  <c r="AF132" i="2"/>
  <c r="AM115" i="2"/>
  <c r="AF115" i="2"/>
  <c r="AM82" i="2"/>
  <c r="AF82" i="2"/>
  <c r="AM132" i="2"/>
  <c r="AF99" i="2"/>
  <c r="AM99" i="2"/>
  <c r="Y13" i="2"/>
  <c r="BL186" i="2"/>
  <c r="AF186" i="2"/>
  <c r="BJ169" i="2"/>
  <c r="AR169" i="2"/>
  <c r="AK169" i="2"/>
  <c r="AD169" i="2"/>
  <c r="X186" i="2"/>
  <c r="P186" i="2"/>
  <c r="H186" i="2"/>
  <c r="V169" i="2"/>
  <c r="BD186" i="2"/>
  <c r="AN186" i="2"/>
  <c r="M169" i="2"/>
  <c r="D169" i="2"/>
  <c r="BR169" i="2"/>
  <c r="AR135" i="2"/>
  <c r="AV186" i="2"/>
  <c r="AZ169" i="2"/>
  <c r="BD135" i="2"/>
  <c r="BD118" i="2"/>
  <c r="AN102" i="2"/>
  <c r="BD85" i="2"/>
  <c r="AR118" i="2"/>
  <c r="BT186" i="2"/>
  <c r="AN135" i="2"/>
  <c r="AN118" i="2"/>
  <c r="AS102" i="2"/>
  <c r="AN85" i="2"/>
  <c r="BD102" i="2"/>
  <c r="AR99" i="2"/>
  <c r="L99" i="2"/>
  <c r="AB82" i="2"/>
  <c r="AJ99" i="2"/>
  <c r="AB99" i="2"/>
  <c r="T99" i="2"/>
  <c r="AZ82" i="2"/>
  <c r="AR82" i="2"/>
  <c r="AJ82" i="2"/>
  <c r="AZ99" i="2"/>
  <c r="L82" i="2"/>
  <c r="D99" i="2"/>
  <c r="T82" i="2"/>
  <c r="D82" i="2"/>
  <c r="BJ184" i="2"/>
  <c r="BR184" i="2"/>
  <c r="AC83" i="2"/>
  <c r="BA83" i="2"/>
  <c r="U83" i="2"/>
  <c r="M83" i="2"/>
  <c r="E83" i="2"/>
  <c r="AS83" i="2"/>
  <c r="AK83" i="2"/>
  <c r="AA319" i="2"/>
  <c r="R225" i="2"/>
  <c r="N130" i="2"/>
  <c r="N97" i="2"/>
  <c r="V113" i="2"/>
  <c r="V97" i="2"/>
  <c r="V130" i="2"/>
  <c r="N113" i="2"/>
  <c r="N80" i="2"/>
  <c r="V80" i="2"/>
  <c r="G225" i="2"/>
  <c r="BB181" i="2"/>
  <c r="V181" i="2"/>
  <c r="AT181" i="2"/>
  <c r="AL181" i="2"/>
  <c r="AD181" i="2"/>
  <c r="AT164" i="2"/>
  <c r="BB164" i="2"/>
  <c r="AL164" i="2"/>
  <c r="AB297" i="2"/>
  <c r="AD297" i="2" s="1"/>
  <c r="AC297" i="2" s="1"/>
  <c r="U186" i="2"/>
  <c r="E169" i="2"/>
  <c r="AC186" i="2"/>
  <c r="M186" i="2"/>
  <c r="AC169" i="2"/>
  <c r="U169" i="2"/>
  <c r="E186" i="2"/>
  <c r="AM134" i="2"/>
  <c r="AM101" i="2"/>
  <c r="AF101" i="2"/>
  <c r="AF134" i="2"/>
  <c r="AM84" i="2"/>
  <c r="AF117" i="2"/>
  <c r="AM117" i="2"/>
  <c r="AF84" i="2"/>
  <c r="AK183" i="2"/>
  <c r="BQ166" i="2"/>
  <c r="BA183" i="2"/>
  <c r="BA166" i="2"/>
  <c r="BQ183" i="2"/>
  <c r="O116" i="2"/>
  <c r="H116" i="2"/>
  <c r="O83" i="2"/>
  <c r="H83" i="2"/>
  <c r="H133" i="2"/>
  <c r="O133" i="2"/>
  <c r="O100" i="2"/>
  <c r="H100" i="2"/>
  <c r="Y12" i="2"/>
  <c r="BA186" i="2"/>
  <c r="BQ169" i="2"/>
  <c r="AK186" i="2"/>
  <c r="BQ186" i="2"/>
  <c r="BA169" i="2"/>
  <c r="F183" i="2"/>
  <c r="N183" i="2"/>
  <c r="F166" i="2"/>
  <c r="N166" i="2"/>
  <c r="AA311" i="2"/>
  <c r="Z327" i="2"/>
  <c r="X114" i="2"/>
  <c r="X81" i="2"/>
  <c r="G131" i="2"/>
  <c r="AD114" i="2"/>
  <c r="P114" i="2"/>
  <c r="AD81" i="2"/>
  <c r="X131" i="2"/>
  <c r="P131" i="2"/>
  <c r="AD98" i="2"/>
  <c r="AD131" i="2"/>
  <c r="P98" i="2"/>
  <c r="X98" i="2"/>
  <c r="G98" i="2"/>
  <c r="G81" i="2"/>
  <c r="P81" i="2"/>
  <c r="G114" i="2"/>
  <c r="Z319" i="2"/>
  <c r="AC319" i="2" s="1"/>
  <c r="L187" i="2"/>
  <c r="L225" i="2"/>
  <c r="F181" i="2"/>
  <c r="N164" i="2"/>
  <c r="F164" i="2"/>
  <c r="N181" i="2"/>
  <c r="O135" i="2"/>
  <c r="O102" i="2"/>
  <c r="H102" i="2"/>
  <c r="H135" i="2"/>
  <c r="H85" i="2"/>
  <c r="O118" i="2"/>
  <c r="O85" i="2"/>
  <c r="H118" i="2"/>
  <c r="P225" i="2"/>
  <c r="AM130" i="2"/>
  <c r="AF130" i="2"/>
  <c r="AM97" i="2"/>
  <c r="AF97" i="2"/>
  <c r="AF80" i="2"/>
  <c r="AM113" i="2"/>
  <c r="AF113" i="2"/>
  <c r="AM80" i="2"/>
  <c r="BT185" i="2"/>
  <c r="AN185" i="2"/>
  <c r="H185" i="2"/>
  <c r="BR168" i="2"/>
  <c r="AZ168" i="2"/>
  <c r="M168" i="2"/>
  <c r="BL185" i="2"/>
  <c r="BD185" i="2"/>
  <c r="AV185" i="2"/>
  <c r="AF185" i="2"/>
  <c r="P185" i="2"/>
  <c r="AR168" i="2"/>
  <c r="X185" i="2"/>
  <c r="V168" i="2"/>
  <c r="AN134" i="2"/>
  <c r="AK168" i="2"/>
  <c r="D168" i="2"/>
  <c r="AD168" i="2"/>
  <c r="BD134" i="2"/>
  <c r="AR117" i="2"/>
  <c r="BJ168" i="2"/>
  <c r="AN117" i="2"/>
  <c r="BD84" i="2"/>
  <c r="AR134" i="2"/>
  <c r="BD101" i="2"/>
  <c r="AN101" i="2"/>
  <c r="BD117" i="2"/>
  <c r="AS101" i="2"/>
  <c r="AN84" i="2"/>
  <c r="V134" i="2"/>
  <c r="N134" i="2"/>
  <c r="N101" i="2"/>
  <c r="V117" i="2"/>
  <c r="V84" i="2"/>
  <c r="N84" i="2"/>
  <c r="N117" i="2"/>
  <c r="V101" i="2"/>
  <c r="AZ183" i="2"/>
  <c r="BP183" i="2"/>
  <c r="AR183" i="2"/>
  <c r="BP166" i="2"/>
  <c r="BH183" i="2"/>
  <c r="BH166" i="2"/>
  <c r="AZ132" i="2"/>
  <c r="T132" i="2"/>
  <c r="AB115" i="2"/>
  <c r="AZ115" i="2"/>
  <c r="T115" i="2"/>
  <c r="AB132" i="2"/>
  <c r="L115" i="2"/>
  <c r="D132" i="2"/>
  <c r="AJ115" i="2"/>
  <c r="AJ132" i="2"/>
  <c r="L132" i="2"/>
  <c r="D115" i="2"/>
  <c r="D225" i="2"/>
  <c r="BR181" i="2"/>
  <c r="BJ181" i="2"/>
  <c r="AK80" i="2"/>
  <c r="E80" i="2"/>
  <c r="BA80" i="2"/>
  <c r="AS80" i="2"/>
  <c r="AC80" i="2"/>
  <c r="M80" i="2"/>
  <c r="U80" i="2"/>
  <c r="AT182" i="2"/>
  <c r="BB182" i="2"/>
  <c r="AL165" i="2"/>
  <c r="AD182" i="2"/>
  <c r="AL182" i="2"/>
  <c r="AT165" i="2"/>
  <c r="BB165" i="2"/>
  <c r="V182" i="2"/>
  <c r="O134" i="2"/>
  <c r="H134" i="2"/>
  <c r="O117" i="2"/>
  <c r="H117" i="2"/>
  <c r="H101" i="2"/>
  <c r="O101" i="2"/>
  <c r="H84" i="2"/>
  <c r="O84" i="2"/>
  <c r="Y6" i="2"/>
  <c r="C225" i="2"/>
  <c r="AB97" i="2"/>
  <c r="AR80" i="2"/>
  <c r="L80" i="2"/>
  <c r="AJ80" i="2"/>
  <c r="AB80" i="2"/>
  <c r="T80" i="2"/>
  <c r="AZ80" i="2"/>
  <c r="AR97" i="2"/>
  <c r="L97" i="2"/>
  <c r="AJ97" i="2"/>
  <c r="D80" i="2"/>
  <c r="AZ97" i="2"/>
  <c r="T97" i="2"/>
  <c r="D97" i="2"/>
  <c r="BQ184" i="2"/>
  <c r="AK184" i="2"/>
  <c r="BA167" i="2"/>
  <c r="BA184" i="2"/>
  <c r="BQ167" i="2"/>
  <c r="AD117" i="2"/>
  <c r="P117" i="2"/>
  <c r="G101" i="2"/>
  <c r="AD84" i="2"/>
  <c r="P84" i="2"/>
  <c r="AD134" i="2"/>
  <c r="P134" i="2"/>
  <c r="X117" i="2"/>
  <c r="X101" i="2"/>
  <c r="P101" i="2"/>
  <c r="G134" i="2"/>
  <c r="G117" i="2"/>
  <c r="X134" i="2"/>
  <c r="X84" i="2"/>
  <c r="G84" i="2"/>
  <c r="AD101" i="2"/>
  <c r="O225" i="2"/>
  <c r="G130" i="2"/>
  <c r="AD113" i="2"/>
  <c r="P113" i="2"/>
  <c r="G97" i="2"/>
  <c r="AD80" i="2"/>
  <c r="P80" i="2"/>
  <c r="X130" i="2"/>
  <c r="G113" i="2"/>
  <c r="AD97" i="2"/>
  <c r="P130" i="2"/>
  <c r="X80" i="2"/>
  <c r="G80" i="2"/>
  <c r="AD130" i="2"/>
  <c r="X97" i="2"/>
  <c r="X113" i="2"/>
  <c r="P97" i="2"/>
  <c r="AJ187" i="2"/>
  <c r="AB325" i="2"/>
  <c r="AD325" i="2" s="1"/>
  <c r="AC325" i="2" s="1"/>
  <c r="AJ98" i="2"/>
  <c r="D98" i="2"/>
  <c r="AZ81" i="2"/>
  <c r="T81" i="2"/>
  <c r="L81" i="2"/>
  <c r="D81" i="2"/>
  <c r="AB98" i="2"/>
  <c r="L98" i="2"/>
  <c r="AR81" i="2"/>
  <c r="AB81" i="2"/>
  <c r="T98" i="2"/>
  <c r="AJ81" i="2"/>
  <c r="AZ98" i="2"/>
  <c r="AR98" i="2"/>
  <c r="V102" i="2"/>
  <c r="V135" i="2"/>
  <c r="N135" i="2"/>
  <c r="V85" i="2"/>
  <c r="N118" i="2"/>
  <c r="N102" i="2"/>
  <c r="N85" i="2"/>
  <c r="V118" i="2"/>
  <c r="AV184" i="2"/>
  <c r="P184" i="2"/>
  <c r="H184" i="2"/>
  <c r="AN184" i="2"/>
  <c r="AF184" i="2"/>
  <c r="X184" i="2"/>
  <c r="AD167" i="2"/>
  <c r="V167" i="2"/>
  <c r="D167" i="2"/>
  <c r="BL184" i="2"/>
  <c r="BR167" i="2"/>
  <c r="BJ167" i="2"/>
  <c r="AK167" i="2"/>
  <c r="AR167" i="2"/>
  <c r="M167" i="2"/>
  <c r="BD184" i="2"/>
  <c r="AN116" i="2"/>
  <c r="BD100" i="2"/>
  <c r="AS100" i="2"/>
  <c r="AN83" i="2"/>
  <c r="AR133" i="2"/>
  <c r="BT184" i="2"/>
  <c r="AR116" i="2"/>
  <c r="BD133" i="2"/>
  <c r="AZ167" i="2"/>
  <c r="BD116" i="2"/>
  <c r="AN133" i="2"/>
  <c r="BD83" i="2"/>
  <c r="AN100" i="2"/>
  <c r="AD184" i="2"/>
  <c r="AT167" i="2"/>
  <c r="BB184" i="2"/>
  <c r="AL184" i="2"/>
  <c r="AL167" i="2"/>
  <c r="V184" i="2"/>
  <c r="BB167" i="2"/>
  <c r="AT184" i="2"/>
  <c r="AM131" i="2"/>
  <c r="AF131" i="2"/>
  <c r="AM98" i="2"/>
  <c r="AM81" i="2"/>
  <c r="AM114" i="2"/>
  <c r="AF114" i="2"/>
  <c r="AF98" i="2"/>
  <c r="AF81" i="2"/>
  <c r="BH186" i="2"/>
  <c r="AZ186" i="2"/>
  <c r="AR186" i="2"/>
  <c r="L135" i="2"/>
  <c r="BP169" i="2"/>
  <c r="BH169" i="2"/>
  <c r="AZ118" i="2"/>
  <c r="T118" i="2"/>
  <c r="L118" i="2"/>
  <c r="AB135" i="2"/>
  <c r="AZ135" i="2"/>
  <c r="T135" i="2"/>
  <c r="D135" i="2"/>
  <c r="BP186" i="2"/>
  <c r="D118" i="2"/>
  <c r="AJ135" i="2"/>
  <c r="AB118" i="2"/>
  <c r="AJ118" i="2"/>
  <c r="N225" i="2"/>
  <c r="AD135" i="2"/>
  <c r="P135" i="2"/>
  <c r="X135" i="2"/>
  <c r="G135" i="2"/>
  <c r="X118" i="2"/>
  <c r="X85" i="2"/>
  <c r="AD118" i="2"/>
  <c r="P118" i="2"/>
  <c r="G118" i="2"/>
  <c r="AD102" i="2"/>
  <c r="P85" i="2"/>
  <c r="G85" i="2"/>
  <c r="AD85" i="2"/>
  <c r="G102" i="2"/>
  <c r="P102" i="2"/>
  <c r="X102" i="2"/>
  <c r="L170" i="2"/>
  <c r="AB187" i="2"/>
  <c r="F184" i="2"/>
  <c r="N167" i="2"/>
  <c r="N184" i="2"/>
  <c r="F167" i="2"/>
  <c r="AM133" i="2"/>
  <c r="AF133" i="2"/>
  <c r="AM116" i="2"/>
  <c r="AF116" i="2"/>
  <c r="AM100" i="2"/>
  <c r="AF83" i="2"/>
  <c r="AM83" i="2"/>
  <c r="AF100" i="2"/>
  <c r="BB185" i="2"/>
  <c r="V185" i="2"/>
  <c r="AL168" i="2"/>
  <c r="AT185" i="2"/>
  <c r="AL185" i="2"/>
  <c r="AD185" i="2"/>
  <c r="BB168" i="2"/>
  <c r="AT168" i="2"/>
  <c r="BC184" i="2"/>
  <c r="W184" i="2"/>
  <c r="BL167" i="2"/>
  <c r="AF167" i="2"/>
  <c r="O184" i="2"/>
  <c r="G184" i="2"/>
  <c r="BS184" i="2"/>
  <c r="BT167" i="2"/>
  <c r="H167" i="2"/>
  <c r="AU184" i="2"/>
  <c r="BK184" i="2"/>
  <c r="X167" i="2"/>
  <c r="AE184" i="2"/>
  <c r="BD167" i="2"/>
  <c r="AN167" i="2"/>
  <c r="P167" i="2"/>
  <c r="AM184" i="2"/>
  <c r="AV167" i="2"/>
  <c r="BC133" i="2"/>
  <c r="BC116" i="2"/>
  <c r="BC100" i="2"/>
  <c r="AV133" i="2"/>
  <c r="AV100" i="2"/>
  <c r="AV83" i="2"/>
  <c r="AV116" i="2"/>
  <c r="BC83" i="2"/>
  <c r="O131" i="2"/>
  <c r="H131" i="2"/>
  <c r="O98" i="2"/>
  <c r="H98" i="2"/>
  <c r="O114" i="2"/>
  <c r="H81" i="2"/>
  <c r="H114" i="2"/>
  <c r="O81" i="2"/>
  <c r="BR186" i="2"/>
  <c r="BJ186" i="2"/>
  <c r="AS85" i="2"/>
  <c r="M85" i="2"/>
  <c r="BA85" i="2"/>
  <c r="E85" i="2"/>
  <c r="AC85" i="2"/>
  <c r="AK85" i="2"/>
  <c r="U85" i="2"/>
  <c r="BT181" i="2"/>
  <c r="AN181" i="2"/>
  <c r="H181" i="2"/>
  <c r="U225" i="2"/>
  <c r="BD181" i="2"/>
  <c r="AF181" i="2"/>
  <c r="P181" i="2"/>
  <c r="D164" i="2"/>
  <c r="BL181" i="2"/>
  <c r="AK164" i="2"/>
  <c r="M164" i="2"/>
  <c r="AR113" i="2"/>
  <c r="AV181" i="2"/>
  <c r="AR164" i="2"/>
  <c r="V164" i="2"/>
  <c r="BD130" i="2"/>
  <c r="AN113" i="2"/>
  <c r="BJ164" i="2"/>
  <c r="AD164" i="2"/>
  <c r="AR130" i="2"/>
  <c r="BD113" i="2"/>
  <c r="AS97" i="2"/>
  <c r="AN80" i="2"/>
  <c r="X181" i="2"/>
  <c r="BR164" i="2"/>
  <c r="AN130" i="2"/>
  <c r="BD97" i="2"/>
  <c r="BD80" i="2"/>
  <c r="AZ164" i="2"/>
  <c r="AN97" i="2"/>
  <c r="AA297" i="2"/>
  <c r="AT186" i="2"/>
  <c r="BB186" i="2"/>
  <c r="AD186" i="2"/>
  <c r="BB169" i="2"/>
  <c r="AT169" i="2"/>
  <c r="AL169" i="2"/>
  <c r="V186" i="2"/>
  <c r="AL186" i="2"/>
  <c r="AC185" i="2"/>
  <c r="U185" i="2"/>
  <c r="M185" i="2"/>
  <c r="E185" i="2"/>
  <c r="E168" i="2"/>
  <c r="U168" i="2"/>
  <c r="AC168" i="2"/>
  <c r="AZ100" i="2"/>
  <c r="T100" i="2"/>
  <c r="AJ83" i="2"/>
  <c r="D83" i="2"/>
  <c r="L100" i="2"/>
  <c r="D100" i="2"/>
  <c r="AZ83" i="2"/>
  <c r="AB83" i="2"/>
  <c r="T83" i="2"/>
  <c r="L83" i="2"/>
  <c r="AJ100" i="2"/>
  <c r="AR100" i="2"/>
  <c r="AB100" i="2"/>
  <c r="AR83" i="2"/>
  <c r="H225" i="2"/>
  <c r="BA181" i="2"/>
  <c r="AK181" i="2"/>
  <c r="BA164" i="2"/>
  <c r="BQ181" i="2"/>
  <c r="BQ164" i="2"/>
  <c r="X295" i="2"/>
  <c r="D204" i="2" l="1"/>
  <c r="AS204" i="2"/>
  <c r="T204" i="2"/>
  <c r="T187" i="2"/>
  <c r="AC328" i="2"/>
  <c r="AC324" i="2"/>
  <c r="AC329" i="2"/>
  <c r="AV119" i="2"/>
  <c r="BK187" i="2"/>
  <c r="O170" i="2"/>
  <c r="AM187" i="2"/>
  <c r="BS187" i="2"/>
  <c r="BL170" i="2"/>
  <c r="BK170" i="2"/>
  <c r="AC323" i="2"/>
  <c r="AT119" i="2"/>
  <c r="BC170" i="2"/>
  <c r="AC327" i="2"/>
  <c r="E103" i="2"/>
  <c r="E119" i="2"/>
  <c r="AU170" i="2"/>
  <c r="U119" i="2"/>
  <c r="AK119" i="2"/>
  <c r="G170" i="2"/>
  <c r="AK103" i="2"/>
  <c r="AU119" i="2"/>
  <c r="AS119" i="2"/>
  <c r="AC119" i="2"/>
  <c r="W86" i="2"/>
  <c r="AT153" i="2"/>
  <c r="AC103" i="2"/>
  <c r="AL103" i="2"/>
  <c r="Y290" i="2"/>
  <c r="Z290" i="2" s="1"/>
  <c r="D187" i="2"/>
  <c r="AE170" i="2"/>
  <c r="BB153" i="2"/>
  <c r="AL153" i="2"/>
  <c r="AL136" i="2"/>
  <c r="AU187" i="2"/>
  <c r="W187" i="2"/>
  <c r="AT86" i="2"/>
  <c r="W170" i="2"/>
  <c r="H170" i="2"/>
  <c r="W295" i="2"/>
  <c r="Y295" i="2" s="1"/>
  <c r="AB295" i="2" s="1"/>
  <c r="AD295" i="2" s="1"/>
  <c r="AE136" i="2"/>
  <c r="AE119" i="2"/>
  <c r="AT136" i="2"/>
  <c r="AU153" i="2"/>
  <c r="M136" i="2"/>
  <c r="BA119" i="2"/>
  <c r="P170" i="2"/>
  <c r="AV153" i="2"/>
  <c r="G187" i="2"/>
  <c r="BA153" i="2"/>
  <c r="M153" i="2"/>
  <c r="BB119" i="2"/>
  <c r="AU103" i="2"/>
  <c r="E136" i="2"/>
  <c r="W153" i="2"/>
  <c r="BI187" i="2"/>
  <c r="AS170" i="2"/>
  <c r="T170" i="2"/>
  <c r="AU86" i="2"/>
  <c r="AL86" i="2"/>
  <c r="O187" i="2"/>
  <c r="T136" i="2"/>
  <c r="BB103" i="2"/>
  <c r="U136" i="2"/>
  <c r="AE86" i="2"/>
  <c r="AC136" i="2"/>
  <c r="W103" i="2"/>
  <c r="AS136" i="2"/>
  <c r="AE103" i="2"/>
  <c r="AV86" i="2"/>
  <c r="AL119" i="2"/>
  <c r="BC86" i="2"/>
  <c r="AV170" i="2"/>
  <c r="X170" i="2"/>
  <c r="AU136" i="2"/>
  <c r="BA103" i="2"/>
  <c r="AK153" i="2"/>
  <c r="AC153" i="2"/>
  <c r="M103" i="2"/>
  <c r="AI137" i="2" a="1"/>
  <c r="AI141" i="2" s="1"/>
  <c r="S171" i="2" a="1"/>
  <c r="W174" i="2" s="1"/>
  <c r="K171" i="2" a="1"/>
  <c r="M175" i="2" s="1"/>
  <c r="BD153" i="2"/>
  <c r="BC136" i="2"/>
  <c r="AA290" i="2"/>
  <c r="BI170" i="2"/>
  <c r="E170" i="2"/>
  <c r="AJ136" i="2"/>
  <c r="T119" i="2"/>
  <c r="E153" i="2"/>
  <c r="BS170" i="2"/>
  <c r="BB86" i="2"/>
  <c r="U153" i="2"/>
  <c r="AS187" i="2"/>
  <c r="AE153" i="2"/>
  <c r="M119" i="2"/>
  <c r="U103" i="2"/>
  <c r="BB136" i="2"/>
  <c r="W119" i="2"/>
  <c r="BA136" i="2"/>
  <c r="AY120" i="2" a="1"/>
  <c r="AZ124" i="2" s="1"/>
  <c r="BD86" i="2"/>
  <c r="BD136" i="2"/>
  <c r="AV103" i="2"/>
  <c r="AN170" i="2"/>
  <c r="BC153" i="2"/>
  <c r="BC187" i="2"/>
  <c r="AK136" i="2"/>
  <c r="AT103" i="2"/>
  <c r="AM170" i="2"/>
  <c r="W136" i="2"/>
  <c r="AV136" i="2"/>
  <c r="AK187" i="2"/>
  <c r="BD119" i="2"/>
  <c r="AK170" i="2"/>
  <c r="C188" i="2" a="1"/>
  <c r="F191" i="2" s="1"/>
  <c r="AJ119" i="2"/>
  <c r="BH170" i="2"/>
  <c r="BD170" i="2"/>
  <c r="BT170" i="2"/>
  <c r="BP170" i="2"/>
  <c r="AS86" i="2"/>
  <c r="L136" i="2"/>
  <c r="L119" i="2"/>
  <c r="BH187" i="2"/>
  <c r="AZ187" i="2"/>
  <c r="BJ187" i="2"/>
  <c r="AB119" i="2"/>
  <c r="M187" i="2"/>
  <c r="AL187" i="2"/>
  <c r="U187" i="2"/>
  <c r="BR170" i="2"/>
  <c r="AN119" i="2"/>
  <c r="AF170" i="2"/>
  <c r="F86" i="2"/>
  <c r="N103" i="2"/>
  <c r="AY137" i="2" a="1"/>
  <c r="AY141" i="2" s="1"/>
  <c r="U170" i="2"/>
  <c r="AA137" i="2" a="1"/>
  <c r="AA141" i="2" s="1"/>
  <c r="BO171" i="2" a="1"/>
  <c r="BS176" i="2" s="1"/>
  <c r="BA187" i="2"/>
  <c r="X187" i="2"/>
  <c r="BL187" i="2"/>
  <c r="H187" i="2"/>
  <c r="BC103" i="2"/>
  <c r="AE187" i="2"/>
  <c r="F119" i="2"/>
  <c r="AZ136" i="2"/>
  <c r="AR187" i="2"/>
  <c r="AF119" i="2"/>
  <c r="AF103" i="2"/>
  <c r="AC187" i="2"/>
  <c r="AC170" i="2"/>
  <c r="E187" i="2"/>
  <c r="AD170" i="2"/>
  <c r="BC119" i="2"/>
  <c r="X119" i="2"/>
  <c r="X136" i="2"/>
  <c r="P119" i="2"/>
  <c r="AC86" i="2"/>
  <c r="AK86" i="2"/>
  <c r="D119" i="2"/>
  <c r="D136" i="2"/>
  <c r="AZ119" i="2"/>
  <c r="BG171" i="2" a="1"/>
  <c r="BK174" i="2" s="1"/>
  <c r="BP187" i="2"/>
  <c r="AM119" i="2"/>
  <c r="C120" i="2" a="1"/>
  <c r="F125" i="2" s="1"/>
  <c r="AC318" i="2"/>
  <c r="AC330" i="2"/>
  <c r="AC142" i="2"/>
  <c r="AZ170" i="2"/>
  <c r="AY171" i="2" a="1"/>
  <c r="AQ171" i="2" a="1"/>
  <c r="AR170" i="2"/>
  <c r="C171" i="2" a="1"/>
  <c r="D170" i="2"/>
  <c r="L171" i="2"/>
  <c r="F153" i="2"/>
  <c r="X86" i="2"/>
  <c r="P153" i="2"/>
  <c r="AY104" i="2" a="1"/>
  <c r="AZ103" i="2"/>
  <c r="AQ104" i="2" a="1"/>
  <c r="AR103" i="2"/>
  <c r="AI87" i="2" a="1"/>
  <c r="AJ86" i="2"/>
  <c r="AF153" i="2"/>
  <c r="F170" i="2"/>
  <c r="V25" i="2"/>
  <c r="Z12" i="2"/>
  <c r="V119" i="2"/>
  <c r="C137" i="2" a="1"/>
  <c r="AV187" i="2"/>
  <c r="X103" i="2"/>
  <c r="P136" i="2"/>
  <c r="P86" i="2"/>
  <c r="AD119" i="2"/>
  <c r="AD153" i="2"/>
  <c r="AY188" i="2" a="1"/>
  <c r="AI120" i="2" a="1"/>
  <c r="C87" i="2" a="1"/>
  <c r="D86" i="2"/>
  <c r="AZ86" i="2"/>
  <c r="AY87" i="2" a="1"/>
  <c r="L86" i="2"/>
  <c r="K87" i="2" a="1"/>
  <c r="AM103" i="2"/>
  <c r="AB153" i="2"/>
  <c r="AA154" i="2" a="1"/>
  <c r="D153" i="2"/>
  <c r="C154" i="2" a="1"/>
  <c r="AY154" i="2" a="1"/>
  <c r="AZ153" i="2"/>
  <c r="AQ188" i="2" a="1"/>
  <c r="K137" i="2" a="1"/>
  <c r="BB170" i="2"/>
  <c r="AT187" i="2"/>
  <c r="V86" i="2"/>
  <c r="N153" i="2"/>
  <c r="S188" i="2" a="1"/>
  <c r="V19" i="2"/>
  <c r="Z5" i="2"/>
  <c r="H103" i="2"/>
  <c r="H136" i="2"/>
  <c r="O119" i="2"/>
  <c r="BG188" i="2" a="1"/>
  <c r="BQ187" i="2"/>
  <c r="BD103" i="2"/>
  <c r="AN86" i="2"/>
  <c r="AN153" i="2"/>
  <c r="AR119" i="2"/>
  <c r="AQ120" i="2" a="1"/>
  <c r="AS153" i="2"/>
  <c r="AF187" i="2"/>
  <c r="AN187" i="2"/>
  <c r="AA188" i="2" a="1"/>
  <c r="F103" i="2"/>
  <c r="AI188" i="2" a="1"/>
  <c r="AD136" i="2"/>
  <c r="AD103" i="2"/>
  <c r="AD86" i="2"/>
  <c r="G136" i="2"/>
  <c r="X153" i="2"/>
  <c r="AB136" i="2"/>
  <c r="AA120" i="2" a="1"/>
  <c r="C104" i="2" a="1"/>
  <c r="D103" i="2"/>
  <c r="AI104" i="2" a="1"/>
  <c r="AJ103" i="2"/>
  <c r="T86" i="2"/>
  <c r="S87" i="2" a="1"/>
  <c r="AR86" i="2"/>
  <c r="AQ87" i="2" a="1"/>
  <c r="U86" i="2"/>
  <c r="BA86" i="2"/>
  <c r="BR187" i="2"/>
  <c r="AF86" i="2"/>
  <c r="AF136" i="2"/>
  <c r="N187" i="2"/>
  <c r="L153" i="2"/>
  <c r="K154" i="2" a="1"/>
  <c r="N170" i="2"/>
  <c r="K188" i="2" a="1"/>
  <c r="AT170" i="2"/>
  <c r="V187" i="2"/>
  <c r="N86" i="2"/>
  <c r="V103" i="2"/>
  <c r="N136" i="2"/>
  <c r="V26" i="2"/>
  <c r="Z13" i="2"/>
  <c r="O136" i="2"/>
  <c r="H153" i="2"/>
  <c r="O153" i="2"/>
  <c r="S120" i="2" a="1"/>
  <c r="S154" i="2" a="1"/>
  <c r="T153" i="2"/>
  <c r="BO188" i="2" a="1"/>
  <c r="AL170" i="2"/>
  <c r="V136" i="2"/>
  <c r="O86" i="2"/>
  <c r="O103" i="2"/>
  <c r="BQ170" i="2"/>
  <c r="AQ137" i="2" a="1"/>
  <c r="AR136" i="2"/>
  <c r="P187" i="2"/>
  <c r="S137" i="2" a="1"/>
  <c r="BA170" i="2"/>
  <c r="AN103" i="2"/>
  <c r="AN136" i="2"/>
  <c r="AS103" i="2"/>
  <c r="BJ170" i="2"/>
  <c r="V170" i="2"/>
  <c r="M170" i="2"/>
  <c r="BD187" i="2"/>
  <c r="BT187" i="2"/>
  <c r="F136" i="2"/>
  <c r="P103" i="2"/>
  <c r="G86" i="2"/>
  <c r="G119" i="2"/>
  <c r="G103" i="2"/>
  <c r="G153" i="2"/>
  <c r="S104" i="2" a="1"/>
  <c r="T103" i="2"/>
  <c r="K104" i="2" a="1"/>
  <c r="L103" i="2"/>
  <c r="AB86" i="2"/>
  <c r="AA87" i="2" a="1"/>
  <c r="AA104" i="2" a="1"/>
  <c r="AB103" i="2"/>
  <c r="V20" i="2"/>
  <c r="X314" i="2" s="1"/>
  <c r="Z6" i="2"/>
  <c r="M86" i="2"/>
  <c r="E86" i="2"/>
  <c r="AM86" i="2"/>
  <c r="AM153" i="2"/>
  <c r="AM136" i="2"/>
  <c r="AI154" i="2" a="1"/>
  <c r="AJ153" i="2"/>
  <c r="AQ154" i="2" a="1"/>
  <c r="AR153" i="2"/>
  <c r="F187" i="2"/>
  <c r="K120" i="2" a="1"/>
  <c r="AD187" i="2"/>
  <c r="BB187" i="2"/>
  <c r="N119" i="2"/>
  <c r="V153" i="2"/>
  <c r="AA171" i="2" a="1"/>
  <c r="H119" i="2"/>
  <c r="H86" i="2"/>
  <c r="AI171" i="2" a="1"/>
  <c r="AA137" i="2" l="1"/>
  <c r="K175" i="2"/>
  <c r="P174" i="2"/>
  <c r="O176" i="2"/>
  <c r="L172" i="2"/>
  <c r="M173" i="2"/>
  <c r="AB139" i="2"/>
  <c r="AD137" i="2"/>
  <c r="L175" i="2"/>
  <c r="AB141" i="2"/>
  <c r="S174" i="2"/>
  <c r="V171" i="2"/>
  <c r="BD142" i="2"/>
  <c r="AY125" i="2"/>
  <c r="AB290" i="2"/>
  <c r="AD290" i="2" s="1"/>
  <c r="AC290" i="2" s="1"/>
  <c r="AZ139" i="2"/>
  <c r="AC137" i="2"/>
  <c r="AF140" i="2"/>
  <c r="T175" i="2"/>
  <c r="AZ122" i="2"/>
  <c r="AA142" i="2"/>
  <c r="AE139" i="2"/>
  <c r="X173" i="2"/>
  <c r="N176" i="2"/>
  <c r="N171" i="2"/>
  <c r="L173" i="2"/>
  <c r="O174" i="2"/>
  <c r="K173" i="2"/>
  <c r="O171" i="2"/>
  <c r="M171" i="2"/>
  <c r="BA139" i="2"/>
  <c r="M174" i="2"/>
  <c r="O175" i="2"/>
  <c r="L176" i="2"/>
  <c r="M176" i="2"/>
  <c r="P176" i="2"/>
  <c r="K174" i="2"/>
  <c r="N174" i="2"/>
  <c r="N175" i="2"/>
  <c r="N172" i="2"/>
  <c r="P173" i="2"/>
  <c r="L174" i="2"/>
  <c r="K172" i="2"/>
  <c r="K176" i="2"/>
  <c r="BK175" i="2"/>
  <c r="AZ123" i="2"/>
  <c r="BJ176" i="2"/>
  <c r="X171" i="2"/>
  <c r="V175" i="2"/>
  <c r="W173" i="2"/>
  <c r="W175" i="2"/>
  <c r="BC138" i="2"/>
  <c r="BD138" i="2"/>
  <c r="BC139" i="2"/>
  <c r="BC120" i="2"/>
  <c r="AM138" i="2"/>
  <c r="BL171" i="2"/>
  <c r="U174" i="2"/>
  <c r="U172" i="2"/>
  <c r="T176" i="2"/>
  <c r="U171" i="2"/>
  <c r="W176" i="2"/>
  <c r="BD139" i="2"/>
  <c r="BB137" i="2"/>
  <c r="BC137" i="2"/>
  <c r="BB123" i="2"/>
  <c r="U175" i="2"/>
  <c r="BB138" i="2"/>
  <c r="BA141" i="2"/>
  <c r="BD140" i="2"/>
  <c r="BC141" i="2"/>
  <c r="BC121" i="2"/>
  <c r="BC122" i="2"/>
  <c r="AN142" i="2"/>
  <c r="BI176" i="2"/>
  <c r="U176" i="2"/>
  <c r="V174" i="2"/>
  <c r="T172" i="2"/>
  <c r="W172" i="2"/>
  <c r="BA120" i="2"/>
  <c r="AZ121" i="2"/>
  <c r="AY124" i="2"/>
  <c r="BB125" i="2"/>
  <c r="AN137" i="2"/>
  <c r="AI139" i="2"/>
  <c r="BI172" i="2"/>
  <c r="BG174" i="2"/>
  <c r="C191" i="2"/>
  <c r="BA122" i="2"/>
  <c r="BD123" i="2"/>
  <c r="AZ120" i="2"/>
  <c r="AJ137" i="2"/>
  <c r="AL137" i="2"/>
  <c r="AM141" i="2"/>
  <c r="BL173" i="2"/>
  <c r="BG176" i="2"/>
  <c r="AN139" i="2"/>
  <c r="AJ140" i="2"/>
  <c r="AZ141" i="2"/>
  <c r="BB142" i="2"/>
  <c r="BD137" i="2"/>
  <c r="AZ138" i="2"/>
  <c r="BB141" i="2"/>
  <c r="AY139" i="2"/>
  <c r="BA142" i="2"/>
  <c r="P171" i="2"/>
  <c r="K171" i="2"/>
  <c r="N173" i="2"/>
  <c r="O173" i="2"/>
  <c r="P172" i="2"/>
  <c r="M172" i="2"/>
  <c r="P175" i="2"/>
  <c r="O172" i="2"/>
  <c r="BC125" i="2"/>
  <c r="BD121" i="2"/>
  <c r="BB122" i="2"/>
  <c r="BA121" i="2"/>
  <c r="BA125" i="2"/>
  <c r="BD122" i="2"/>
  <c r="BH171" i="2"/>
  <c r="BG175" i="2"/>
  <c r="BI171" i="2"/>
  <c r="AF138" i="2"/>
  <c r="AD140" i="2"/>
  <c r="AF139" i="2"/>
  <c r="AF142" i="2"/>
  <c r="AE141" i="2"/>
  <c r="X176" i="2"/>
  <c r="X172" i="2"/>
  <c r="S171" i="2"/>
  <c r="X175" i="2"/>
  <c r="S175" i="2"/>
  <c r="S173" i="2"/>
  <c r="V176" i="2"/>
  <c r="U173" i="2"/>
  <c r="S176" i="2"/>
  <c r="BC140" i="2"/>
  <c r="AZ137" i="2"/>
  <c r="AY140" i="2"/>
  <c r="BB140" i="2"/>
  <c r="AZ140" i="2"/>
  <c r="AY137" i="2"/>
  <c r="BA140" i="2"/>
  <c r="BA124" i="2"/>
  <c r="BC123" i="2"/>
  <c r="BB124" i="2"/>
  <c r="AY120" i="2"/>
  <c r="BA123" i="2"/>
  <c r="BD120" i="2"/>
  <c r="BD124" i="2"/>
  <c r="BH174" i="2"/>
  <c r="BL174" i="2"/>
  <c r="BK173" i="2"/>
  <c r="BI175" i="2"/>
  <c r="AE142" i="2"/>
  <c r="AE140" i="2"/>
  <c r="AB140" i="2"/>
  <c r="AA139" i="2"/>
  <c r="T174" i="2"/>
  <c r="W171" i="2"/>
  <c r="T173" i="2"/>
  <c r="V173" i="2"/>
  <c r="V172" i="2"/>
  <c r="T171" i="2"/>
  <c r="X174" i="2"/>
  <c r="S172" i="2"/>
  <c r="BT174" i="2"/>
  <c r="AL142" i="2"/>
  <c r="AL138" i="2"/>
  <c r="AI140" i="2"/>
  <c r="AJ139" i="2"/>
  <c r="AJ138" i="2"/>
  <c r="AN140" i="2"/>
  <c r="AI137" i="2"/>
  <c r="AM139" i="2"/>
  <c r="AK142" i="2"/>
  <c r="D188" i="2"/>
  <c r="AY138" i="2"/>
  <c r="AY142" i="2"/>
  <c r="BA137" i="2"/>
  <c r="BC142" i="2"/>
  <c r="BD141" i="2"/>
  <c r="BB139" i="2"/>
  <c r="AZ142" i="2"/>
  <c r="BA138" i="2"/>
  <c r="AY123" i="2"/>
  <c r="AY121" i="2"/>
  <c r="BB120" i="2"/>
  <c r="BD125" i="2"/>
  <c r="AZ125" i="2"/>
  <c r="AY122" i="2"/>
  <c r="BC124" i="2"/>
  <c r="BB121" i="2"/>
  <c r="AK139" i="2"/>
  <c r="AI138" i="2"/>
  <c r="AJ141" i="2"/>
  <c r="AK141" i="2"/>
  <c r="AL140" i="2"/>
  <c r="AN138" i="2"/>
  <c r="AL141" i="2"/>
  <c r="AM137" i="2"/>
  <c r="AK140" i="2"/>
  <c r="BH175" i="2"/>
  <c r="BH172" i="2"/>
  <c r="BJ171" i="2"/>
  <c r="BL172" i="2"/>
  <c r="BK172" i="2"/>
  <c r="AC141" i="2"/>
  <c r="AA138" i="2"/>
  <c r="AF141" i="2"/>
  <c r="AD138" i="2"/>
  <c r="AF137" i="2"/>
  <c r="AD142" i="2"/>
  <c r="AD141" i="2"/>
  <c r="AE137" i="2"/>
  <c r="AC140" i="2"/>
  <c r="H191" i="2"/>
  <c r="F188" i="2"/>
  <c r="F193" i="2"/>
  <c r="AI142" i="2"/>
  <c r="AM140" i="2"/>
  <c r="AK137" i="2"/>
  <c r="AM142" i="2"/>
  <c r="AN141" i="2"/>
  <c r="AL139" i="2"/>
  <c r="AJ142" i="2"/>
  <c r="AK138" i="2"/>
  <c r="AB137" i="2"/>
  <c r="AA140" i="2"/>
  <c r="AB138" i="2"/>
  <c r="AC139" i="2"/>
  <c r="AE138" i="2"/>
  <c r="AD139" i="2"/>
  <c r="AB142" i="2"/>
  <c r="AC138" i="2"/>
  <c r="H189" i="2"/>
  <c r="C188" i="2"/>
  <c r="G188" i="2"/>
  <c r="F189" i="2"/>
  <c r="BP176" i="2"/>
  <c r="BG173" i="2"/>
  <c r="BL176" i="2"/>
  <c r="BL175" i="2"/>
  <c r="BH176" i="2"/>
  <c r="BJ175" i="2"/>
  <c r="BI173" i="2"/>
  <c r="BK176" i="2"/>
  <c r="D122" i="2"/>
  <c r="C189" i="2"/>
  <c r="E190" i="2"/>
  <c r="F190" i="2"/>
  <c r="H190" i="2"/>
  <c r="BO173" i="2"/>
  <c r="BO176" i="2"/>
  <c r="F124" i="2"/>
  <c r="G122" i="2"/>
  <c r="E188" i="2"/>
  <c r="F192" i="2"/>
  <c r="G192" i="2"/>
  <c r="E192" i="2"/>
  <c r="D192" i="2"/>
  <c r="BO171" i="2"/>
  <c r="D121" i="2"/>
  <c r="D191" i="2"/>
  <c r="G193" i="2"/>
  <c r="E189" i="2"/>
  <c r="D189" i="2"/>
  <c r="H193" i="2"/>
  <c r="G189" i="2"/>
  <c r="D193" i="2"/>
  <c r="D190" i="2"/>
  <c r="H192" i="2"/>
  <c r="BQ176" i="2"/>
  <c r="BR172" i="2"/>
  <c r="BH173" i="2"/>
  <c r="BK171" i="2"/>
  <c r="BI174" i="2"/>
  <c r="BJ173" i="2"/>
  <c r="BJ172" i="2"/>
  <c r="BG171" i="2"/>
  <c r="BJ174" i="2"/>
  <c r="BG172" i="2"/>
  <c r="C123" i="2"/>
  <c r="C120" i="2"/>
  <c r="H124" i="2"/>
  <c r="C190" i="2"/>
  <c r="C192" i="2"/>
  <c r="G190" i="2"/>
  <c r="E193" i="2"/>
  <c r="G191" i="2"/>
  <c r="C193" i="2"/>
  <c r="E191" i="2"/>
  <c r="H188" i="2"/>
  <c r="BS175" i="2"/>
  <c r="BQ173" i="2"/>
  <c r="C121" i="2"/>
  <c r="E125" i="2"/>
  <c r="BT172" i="2"/>
  <c r="BR171" i="2"/>
  <c r="BP174" i="2"/>
  <c r="BP173" i="2"/>
  <c r="BQ172" i="2"/>
  <c r="BT176" i="2"/>
  <c r="BQ174" i="2"/>
  <c r="BO172" i="2"/>
  <c r="BS174" i="2"/>
  <c r="E124" i="2"/>
  <c r="G121" i="2"/>
  <c r="D123" i="2"/>
  <c r="G123" i="2"/>
  <c r="H123" i="2"/>
  <c r="E121" i="2"/>
  <c r="C124" i="2"/>
  <c r="H120" i="2"/>
  <c r="F123" i="2"/>
  <c r="AA295" i="2"/>
  <c r="BR175" i="2"/>
  <c r="BT173" i="2"/>
  <c r="BR176" i="2"/>
  <c r="BR174" i="2"/>
  <c r="BS173" i="2"/>
  <c r="BS171" i="2"/>
  <c r="BP175" i="2"/>
  <c r="BS172" i="2"/>
  <c r="BQ175" i="2"/>
  <c r="E120" i="2"/>
  <c r="H121" i="2"/>
  <c r="H125" i="2"/>
  <c r="C125" i="2"/>
  <c r="D125" i="2"/>
  <c r="C122" i="2"/>
  <c r="G124" i="2"/>
  <c r="F121" i="2"/>
  <c r="D124" i="2"/>
  <c r="Z295" i="2"/>
  <c r="AC295" i="2" s="1"/>
  <c r="BO175" i="2"/>
  <c r="BT171" i="2"/>
  <c r="BP172" i="2"/>
  <c r="BP171" i="2"/>
  <c r="BT175" i="2"/>
  <c r="BR173" i="2"/>
  <c r="BQ171" i="2"/>
  <c r="BO174" i="2"/>
  <c r="G125" i="2"/>
  <c r="F120" i="2"/>
  <c r="E122" i="2"/>
  <c r="F122" i="2"/>
  <c r="G120" i="2"/>
  <c r="E123" i="2"/>
  <c r="D120" i="2"/>
  <c r="H122" i="2"/>
  <c r="BD109" i="2"/>
  <c r="AZ109" i="2"/>
  <c r="BB108" i="2"/>
  <c r="BD107" i="2"/>
  <c r="AZ107" i="2"/>
  <c r="BB106" i="2"/>
  <c r="BD105" i="2"/>
  <c r="AZ105" i="2"/>
  <c r="BB104" i="2"/>
  <c r="AY109" i="2"/>
  <c r="AZ108" i="2"/>
  <c r="BA107" i="2"/>
  <c r="BA106" i="2"/>
  <c r="BB105" i="2"/>
  <c r="BC104" i="2"/>
  <c r="BC109" i="2"/>
  <c r="BD108" i="2"/>
  <c r="AY108" i="2"/>
  <c r="AY107" i="2"/>
  <c r="AZ106" i="2"/>
  <c r="BA105" i="2"/>
  <c r="BA104" i="2"/>
  <c r="BA108" i="2"/>
  <c r="BC106" i="2"/>
  <c r="BD104" i="2"/>
  <c r="BA109" i="2"/>
  <c r="BB107" i="2"/>
  <c r="BC105" i="2"/>
  <c r="AY104" i="2"/>
  <c r="BD106" i="2"/>
  <c r="AY105" i="2"/>
  <c r="BB109" i="2"/>
  <c r="BC107" i="2"/>
  <c r="AY106" i="2"/>
  <c r="AZ104" i="2"/>
  <c r="BC108" i="2"/>
  <c r="BC176" i="2"/>
  <c r="AY176" i="2"/>
  <c r="BA175" i="2"/>
  <c r="BC174" i="2"/>
  <c r="AY174" i="2"/>
  <c r="BA173" i="2"/>
  <c r="BC172" i="2"/>
  <c r="AY172" i="2"/>
  <c r="BA171" i="2"/>
  <c r="BB176" i="2"/>
  <c r="BC175" i="2"/>
  <c r="BD174" i="2"/>
  <c r="BD173" i="2"/>
  <c r="AY173" i="2"/>
  <c r="AZ172" i="2"/>
  <c r="AZ171" i="2"/>
  <c r="BA176" i="2"/>
  <c r="AZ175" i="2"/>
  <c r="AZ174" i="2"/>
  <c r="BD172" i="2"/>
  <c r="BC171" i="2"/>
  <c r="AZ176" i="2"/>
  <c r="AY175" i="2"/>
  <c r="BC173" i="2"/>
  <c r="BB172" i="2"/>
  <c r="BB171" i="2"/>
  <c r="BB174" i="2"/>
  <c r="BA172" i="2"/>
  <c r="BD176" i="2"/>
  <c r="BA174" i="2"/>
  <c r="BD171" i="2"/>
  <c r="BB175" i="2"/>
  <c r="BB173" i="2"/>
  <c r="BD175" i="2"/>
  <c r="AY171" i="2"/>
  <c r="AZ173" i="2"/>
  <c r="AM176" i="2"/>
  <c r="AI176" i="2"/>
  <c r="AK175" i="2"/>
  <c r="AM174" i="2"/>
  <c r="AI174" i="2"/>
  <c r="AK173" i="2"/>
  <c r="AM172" i="2"/>
  <c r="AI172" i="2"/>
  <c r="AK171" i="2"/>
  <c r="AJ176" i="2"/>
  <c r="AJ175" i="2"/>
  <c r="AK174" i="2"/>
  <c r="AL173" i="2"/>
  <c r="AL172" i="2"/>
  <c r="AM171" i="2"/>
  <c r="AN176" i="2"/>
  <c r="AM175" i="2"/>
  <c r="AL174" i="2"/>
  <c r="AJ173" i="2"/>
  <c r="AJ172" i="2"/>
  <c r="AI171" i="2"/>
  <c r="AL176" i="2"/>
  <c r="AL175" i="2"/>
  <c r="AJ174" i="2"/>
  <c r="AI173" i="2"/>
  <c r="AN171" i="2"/>
  <c r="AI175" i="2"/>
  <c r="AN172" i="2"/>
  <c r="AN174" i="2"/>
  <c r="AK172" i="2"/>
  <c r="AN175" i="2"/>
  <c r="AJ171" i="2"/>
  <c r="AN173" i="2"/>
  <c r="AL171" i="2"/>
  <c r="AK176" i="2"/>
  <c r="AM173" i="2"/>
  <c r="AF109" i="2"/>
  <c r="AB109" i="2"/>
  <c r="AD108" i="2"/>
  <c r="AF107" i="2"/>
  <c r="AB107" i="2"/>
  <c r="AD106" i="2"/>
  <c r="AF105" i="2"/>
  <c r="AB105" i="2"/>
  <c r="AD104" i="2"/>
  <c r="AE109" i="2"/>
  <c r="AF108" i="2"/>
  <c r="AA108" i="2"/>
  <c r="AA107" i="2"/>
  <c r="AB106" i="2"/>
  <c r="AC105" i="2"/>
  <c r="AC104" i="2"/>
  <c r="AD109" i="2"/>
  <c r="AE108" i="2"/>
  <c r="AE107" i="2"/>
  <c r="AF106" i="2"/>
  <c r="AA106" i="2"/>
  <c r="AA105" i="2"/>
  <c r="AB104" i="2"/>
  <c r="AA109" i="2"/>
  <c r="AC107" i="2"/>
  <c r="AD105" i="2"/>
  <c r="AC109" i="2"/>
  <c r="AE105" i="2"/>
  <c r="AC108" i="2"/>
  <c r="AE106" i="2"/>
  <c r="AF104" i="2"/>
  <c r="AB108" i="2"/>
  <c r="AC106" i="2"/>
  <c r="AE104" i="2"/>
  <c r="AD107" i="2"/>
  <c r="AA104" i="2"/>
  <c r="P109" i="2"/>
  <c r="L109" i="2"/>
  <c r="N108" i="2"/>
  <c r="P107" i="2"/>
  <c r="L107" i="2"/>
  <c r="N106" i="2"/>
  <c r="P105" i="2"/>
  <c r="L105" i="2"/>
  <c r="N104" i="2"/>
  <c r="M109" i="2"/>
  <c r="M108" i="2"/>
  <c r="N107" i="2"/>
  <c r="O106" i="2"/>
  <c r="O105" i="2"/>
  <c r="P104" i="2"/>
  <c r="K104" i="2"/>
  <c r="K109" i="2"/>
  <c r="L108" i="2"/>
  <c r="M107" i="2"/>
  <c r="M106" i="2"/>
  <c r="N105" i="2"/>
  <c r="O104" i="2"/>
  <c r="N109" i="2"/>
  <c r="O107" i="2"/>
  <c r="K106" i="2"/>
  <c r="L104" i="2"/>
  <c r="O109" i="2"/>
  <c r="K108" i="2"/>
  <c r="M104" i="2"/>
  <c r="P108" i="2"/>
  <c r="K107" i="2"/>
  <c r="M105" i="2"/>
  <c r="O108" i="2"/>
  <c r="P106" i="2"/>
  <c r="K105" i="2"/>
  <c r="L106" i="2"/>
  <c r="AN109" i="2"/>
  <c r="AJ109" i="2"/>
  <c r="AL108" i="2"/>
  <c r="AN107" i="2"/>
  <c r="AJ107" i="2"/>
  <c r="AL106" i="2"/>
  <c r="AN105" i="2"/>
  <c r="AJ105" i="2"/>
  <c r="AL104" i="2"/>
  <c r="AL109" i="2"/>
  <c r="AM108" i="2"/>
  <c r="AM107" i="2"/>
  <c r="AN106" i="2"/>
  <c r="AI106" i="2"/>
  <c r="AI105" i="2"/>
  <c r="AJ104" i="2"/>
  <c r="AK109" i="2"/>
  <c r="AK108" i="2"/>
  <c r="AL107" i="2"/>
  <c r="AM106" i="2"/>
  <c r="AM105" i="2"/>
  <c r="AN104" i="2"/>
  <c r="AI104" i="2"/>
  <c r="AN108" i="2"/>
  <c r="AI107" i="2"/>
  <c r="AK105" i="2"/>
  <c r="AI108" i="2"/>
  <c r="AJ106" i="2"/>
  <c r="AK104" i="2"/>
  <c r="AI109" i="2"/>
  <c r="AL105" i="2"/>
  <c r="AJ108" i="2"/>
  <c r="AK106" i="2"/>
  <c r="AM104" i="2"/>
  <c r="AM109" i="2"/>
  <c r="AK107" i="2"/>
  <c r="AD193" i="2"/>
  <c r="AF192" i="2"/>
  <c r="AB192" i="2"/>
  <c r="AD191" i="2"/>
  <c r="AF190" i="2"/>
  <c r="AB190" i="2"/>
  <c r="AD189" i="2"/>
  <c r="AF188" i="2"/>
  <c r="AB188" i="2"/>
  <c r="AC193" i="2"/>
  <c r="AD192" i="2"/>
  <c r="AE191" i="2"/>
  <c r="AE190" i="2"/>
  <c r="AF189" i="2"/>
  <c r="AA189" i="2"/>
  <c r="AA188" i="2"/>
  <c r="AE193" i="2"/>
  <c r="AC192" i="2"/>
  <c r="AB191" i="2"/>
  <c r="AA190" i="2"/>
  <c r="AE188" i="2"/>
  <c r="AB193" i="2"/>
  <c r="AA192" i="2"/>
  <c r="AA191" i="2"/>
  <c r="AE189" i="2"/>
  <c r="AD188" i="2"/>
  <c r="AE192" i="2"/>
  <c r="AC190" i="2"/>
  <c r="AF191" i="2"/>
  <c r="AC189" i="2"/>
  <c r="AD190" i="2"/>
  <c r="AF193" i="2"/>
  <c r="AB189" i="2"/>
  <c r="AC191" i="2"/>
  <c r="AC188" i="2"/>
  <c r="AA193" i="2"/>
  <c r="AT125" i="2"/>
  <c r="AV124" i="2"/>
  <c r="AR124" i="2"/>
  <c r="AT123" i="2"/>
  <c r="AV122" i="2"/>
  <c r="AR122" i="2"/>
  <c r="AT121" i="2"/>
  <c r="AV120" i="2"/>
  <c r="AR120" i="2"/>
  <c r="AS125" i="2"/>
  <c r="AU124" i="2"/>
  <c r="AQ124" i="2"/>
  <c r="AS123" i="2"/>
  <c r="AU122" i="2"/>
  <c r="AQ122" i="2"/>
  <c r="AS121" i="2"/>
  <c r="AU120" i="2"/>
  <c r="AQ120" i="2"/>
  <c r="AV125" i="2"/>
  <c r="AT124" i="2"/>
  <c r="AR123" i="2"/>
  <c r="AV121" i="2"/>
  <c r="AT120" i="2"/>
  <c r="AR125" i="2"/>
  <c r="AV123" i="2"/>
  <c r="AT122" i="2"/>
  <c r="AR121" i="2"/>
  <c r="AU125" i="2"/>
  <c r="AS124" i="2"/>
  <c r="AQ123" i="2"/>
  <c r="AU121" i="2"/>
  <c r="AS120" i="2"/>
  <c r="AS122" i="2"/>
  <c r="AQ125" i="2"/>
  <c r="AQ121" i="2"/>
  <c r="AU123" i="2"/>
  <c r="M142" i="2"/>
  <c r="O141" i="2"/>
  <c r="K141" i="2"/>
  <c r="M140" i="2"/>
  <c r="O139" i="2"/>
  <c r="K139" i="2"/>
  <c r="M138" i="2"/>
  <c r="O137" i="2"/>
  <c r="K137" i="2"/>
  <c r="O142" i="2"/>
  <c r="P141" i="2"/>
  <c r="P140" i="2"/>
  <c r="K140" i="2"/>
  <c r="L139" i="2"/>
  <c r="L138" i="2"/>
  <c r="M137" i="2"/>
  <c r="N142" i="2"/>
  <c r="N141" i="2"/>
  <c r="O140" i="2"/>
  <c r="P139" i="2"/>
  <c r="P138" i="2"/>
  <c r="K138" i="2"/>
  <c r="L137" i="2"/>
  <c r="L142" i="2"/>
  <c r="N140" i="2"/>
  <c r="O138" i="2"/>
  <c r="M141" i="2"/>
  <c r="P137" i="2"/>
  <c r="K142" i="2"/>
  <c r="L140" i="2"/>
  <c r="N138" i="2"/>
  <c r="N139" i="2"/>
  <c r="M139" i="2"/>
  <c r="N137" i="2"/>
  <c r="P142" i="2"/>
  <c r="L141" i="2"/>
  <c r="G159" i="2"/>
  <c r="C159" i="2"/>
  <c r="E158" i="2"/>
  <c r="G157" i="2"/>
  <c r="C157" i="2"/>
  <c r="E156" i="2"/>
  <c r="G155" i="2"/>
  <c r="C155" i="2"/>
  <c r="E154" i="2"/>
  <c r="F159" i="2"/>
  <c r="H158" i="2"/>
  <c r="D158" i="2"/>
  <c r="F157" i="2"/>
  <c r="H156" i="2"/>
  <c r="D156" i="2"/>
  <c r="F155" i="2"/>
  <c r="H154" i="2"/>
  <c r="D154" i="2"/>
  <c r="E159" i="2"/>
  <c r="C158" i="2"/>
  <c r="G156" i="2"/>
  <c r="E155" i="2"/>
  <c r="C154" i="2"/>
  <c r="D159" i="2"/>
  <c r="H157" i="2"/>
  <c r="F156" i="2"/>
  <c r="D155" i="2"/>
  <c r="G158" i="2"/>
  <c r="C156" i="2"/>
  <c r="E157" i="2"/>
  <c r="G154" i="2"/>
  <c r="F158" i="2"/>
  <c r="H155" i="2"/>
  <c r="D157" i="2"/>
  <c r="H159" i="2"/>
  <c r="F154" i="2"/>
  <c r="BB193" i="2"/>
  <c r="BD192" i="2"/>
  <c r="AZ192" i="2"/>
  <c r="BB191" i="2"/>
  <c r="BD190" i="2"/>
  <c r="AZ190" i="2"/>
  <c r="BB189" i="2"/>
  <c r="BD188" i="2"/>
  <c r="AZ188" i="2"/>
  <c r="BC193" i="2"/>
  <c r="BC192" i="2"/>
  <c r="BD191" i="2"/>
  <c r="AY191" i="2"/>
  <c r="AY190" i="2"/>
  <c r="AZ189" i="2"/>
  <c r="BA188" i="2"/>
  <c r="AY193" i="2"/>
  <c r="BC191" i="2"/>
  <c r="BB190" i="2"/>
  <c r="BA189" i="2"/>
  <c r="AY188" i="2"/>
  <c r="BD193" i="2"/>
  <c r="BB192" i="2"/>
  <c r="BA191" i="2"/>
  <c r="BA190" i="2"/>
  <c r="AY189" i="2"/>
  <c r="AY192" i="2"/>
  <c r="BC189" i="2"/>
  <c r="BA193" i="2"/>
  <c r="AZ191" i="2"/>
  <c r="BC188" i="2"/>
  <c r="BA192" i="2"/>
  <c r="BC190" i="2"/>
  <c r="BB188" i="2"/>
  <c r="AZ193" i="2"/>
  <c r="BD189" i="2"/>
  <c r="AV109" i="2"/>
  <c r="AR109" i="2"/>
  <c r="AT108" i="2"/>
  <c r="AV107" i="2"/>
  <c r="AR107" i="2"/>
  <c r="AT106" i="2"/>
  <c r="AV105" i="2"/>
  <c r="AR105" i="2"/>
  <c r="AT104" i="2"/>
  <c r="AS109" i="2"/>
  <c r="AS108" i="2"/>
  <c r="AT107" i="2"/>
  <c r="AU106" i="2"/>
  <c r="AU105" i="2"/>
  <c r="AV104" i="2"/>
  <c r="AQ104" i="2"/>
  <c r="AQ109" i="2"/>
  <c r="AR108" i="2"/>
  <c r="AS107" i="2"/>
  <c r="AS106" i="2"/>
  <c r="AT105" i="2"/>
  <c r="AU104" i="2"/>
  <c r="AU108" i="2"/>
  <c r="AV106" i="2"/>
  <c r="AQ105" i="2"/>
  <c r="AT109" i="2"/>
  <c r="AU107" i="2"/>
  <c r="AQ106" i="2"/>
  <c r="AR104" i="2"/>
  <c r="AV108" i="2"/>
  <c r="AQ107" i="2"/>
  <c r="AU109" i="2"/>
  <c r="AQ108" i="2"/>
  <c r="AR106" i="2"/>
  <c r="AS104" i="2"/>
  <c r="AS105" i="2"/>
  <c r="AE176" i="2"/>
  <c r="AA176" i="2"/>
  <c r="AC175" i="2"/>
  <c r="AE174" i="2"/>
  <c r="AA174" i="2"/>
  <c r="AC173" i="2"/>
  <c r="AE172" i="2"/>
  <c r="AA172" i="2"/>
  <c r="AC171" i="2"/>
  <c r="AC176" i="2"/>
  <c r="AD175" i="2"/>
  <c r="AD174" i="2"/>
  <c r="AE173" i="2"/>
  <c r="AF172" i="2"/>
  <c r="AF171" i="2"/>
  <c r="AA171" i="2"/>
  <c r="AF175" i="2"/>
  <c r="AF174" i="2"/>
  <c r="AD173" i="2"/>
  <c r="AC172" i="2"/>
  <c r="AB171" i="2"/>
  <c r="AF176" i="2"/>
  <c r="AE175" i="2"/>
  <c r="AC174" i="2"/>
  <c r="AB173" i="2"/>
  <c r="AB172" i="2"/>
  <c r="AB175" i="2"/>
  <c r="AA173" i="2"/>
  <c r="AA175" i="2"/>
  <c r="AD172" i="2"/>
  <c r="AF173" i="2"/>
  <c r="AD176" i="2"/>
  <c r="AE171" i="2"/>
  <c r="AB174" i="2"/>
  <c r="AB176" i="2"/>
  <c r="AD171" i="2"/>
  <c r="AV159" i="2"/>
  <c r="AR159" i="2"/>
  <c r="AT158" i="2"/>
  <c r="AV157" i="2"/>
  <c r="AR157" i="2"/>
  <c r="AT156" i="2"/>
  <c r="AV155" i="2"/>
  <c r="AR155" i="2"/>
  <c r="AT154" i="2"/>
  <c r="AQ159" i="2"/>
  <c r="AR158" i="2"/>
  <c r="AS157" i="2"/>
  <c r="AS156" i="2"/>
  <c r="AT155" i="2"/>
  <c r="AU154" i="2"/>
  <c r="AU159" i="2"/>
  <c r="AV158" i="2"/>
  <c r="AQ158" i="2"/>
  <c r="AQ157" i="2"/>
  <c r="AR156" i="2"/>
  <c r="AS155" i="2"/>
  <c r="AS154" i="2"/>
  <c r="AU158" i="2"/>
  <c r="AV156" i="2"/>
  <c r="AQ155" i="2"/>
  <c r="AS158" i="2"/>
  <c r="AU156" i="2"/>
  <c r="AV154" i="2"/>
  <c r="AU157" i="2"/>
  <c r="AR154" i="2"/>
  <c r="AT159" i="2"/>
  <c r="AT157" i="2"/>
  <c r="AQ154" i="2"/>
  <c r="AQ156" i="2"/>
  <c r="AS159" i="2"/>
  <c r="AU155" i="2"/>
  <c r="AD92" i="2"/>
  <c r="AF91" i="2"/>
  <c r="AB91" i="2"/>
  <c r="AD90" i="2"/>
  <c r="AF89" i="2"/>
  <c r="AB89" i="2"/>
  <c r="AD88" i="2"/>
  <c r="AF87" i="2"/>
  <c r="AB87" i="2"/>
  <c r="AC92" i="2"/>
  <c r="AD91" i="2"/>
  <c r="AE90" i="2"/>
  <c r="AE89" i="2"/>
  <c r="AF88" i="2"/>
  <c r="AA88" i="2"/>
  <c r="AA87" i="2"/>
  <c r="AB92" i="2"/>
  <c r="AC91" i="2"/>
  <c r="AC90" i="2"/>
  <c r="AD89" i="2"/>
  <c r="AE88" i="2"/>
  <c r="AE87" i="2"/>
  <c r="AE92" i="2"/>
  <c r="AF90" i="2"/>
  <c r="AA89" i="2"/>
  <c r="AC87" i="2"/>
  <c r="AE91" i="2"/>
  <c r="AA90" i="2"/>
  <c r="AB88" i="2"/>
  <c r="AA92" i="2"/>
  <c r="AB90" i="2"/>
  <c r="AC88" i="2"/>
  <c r="AF92" i="2"/>
  <c r="AA91" i="2"/>
  <c r="AC89" i="2"/>
  <c r="AD87" i="2"/>
  <c r="AS142" i="2"/>
  <c r="AU141" i="2"/>
  <c r="AQ141" i="2"/>
  <c r="AS140" i="2"/>
  <c r="AU139" i="2"/>
  <c r="AQ139" i="2"/>
  <c r="AS138" i="2"/>
  <c r="AU137" i="2"/>
  <c r="AQ137" i="2"/>
  <c r="AV142" i="2"/>
  <c r="AR142" i="2"/>
  <c r="AT141" i="2"/>
  <c r="AV140" i="2"/>
  <c r="AR140" i="2"/>
  <c r="AT139" i="2"/>
  <c r="AV138" i="2"/>
  <c r="AR138" i="2"/>
  <c r="AT137" i="2"/>
  <c r="AT142" i="2"/>
  <c r="AR141" i="2"/>
  <c r="AV139" i="2"/>
  <c r="AT138" i="2"/>
  <c r="AR137" i="2"/>
  <c r="AQ142" i="2"/>
  <c r="AU140" i="2"/>
  <c r="AS139" i="2"/>
  <c r="AQ138" i="2"/>
  <c r="AV141" i="2"/>
  <c r="AR139" i="2"/>
  <c r="AV137" i="2"/>
  <c r="AS141" i="2"/>
  <c r="AU138" i="2"/>
  <c r="AT140" i="2"/>
  <c r="AU142" i="2"/>
  <c r="AQ140" i="2"/>
  <c r="AS137" i="2"/>
  <c r="W159" i="2"/>
  <c r="S159" i="2"/>
  <c r="U158" i="2"/>
  <c r="W157" i="2"/>
  <c r="S157" i="2"/>
  <c r="U156" i="2"/>
  <c r="W155" i="2"/>
  <c r="S155" i="2"/>
  <c r="U154" i="2"/>
  <c r="V159" i="2"/>
  <c r="X158" i="2"/>
  <c r="T158" i="2"/>
  <c r="V157" i="2"/>
  <c r="X156" i="2"/>
  <c r="T156" i="2"/>
  <c r="V155" i="2"/>
  <c r="X154" i="2"/>
  <c r="T154" i="2"/>
  <c r="U159" i="2"/>
  <c r="S158" i="2"/>
  <c r="W156" i="2"/>
  <c r="U155" i="2"/>
  <c r="S154" i="2"/>
  <c r="T159" i="2"/>
  <c r="X157" i="2"/>
  <c r="V156" i="2"/>
  <c r="T155" i="2"/>
  <c r="U157" i="2"/>
  <c r="W154" i="2"/>
  <c r="X159" i="2"/>
  <c r="T157" i="2"/>
  <c r="V154" i="2"/>
  <c r="W158" i="2"/>
  <c r="S156" i="2"/>
  <c r="V158" i="2"/>
  <c r="X155" i="2"/>
  <c r="V125" i="2"/>
  <c r="X124" i="2"/>
  <c r="T124" i="2"/>
  <c r="V123" i="2"/>
  <c r="X122" i="2"/>
  <c r="T122" i="2"/>
  <c r="V121" i="2"/>
  <c r="X120" i="2"/>
  <c r="T120" i="2"/>
  <c r="U125" i="2"/>
  <c r="W124" i="2"/>
  <c r="S124" i="2"/>
  <c r="U123" i="2"/>
  <c r="W122" i="2"/>
  <c r="S122" i="2"/>
  <c r="U121" i="2"/>
  <c r="W120" i="2"/>
  <c r="S120" i="2"/>
  <c r="T125" i="2"/>
  <c r="X123" i="2"/>
  <c r="V122" i="2"/>
  <c r="T121" i="2"/>
  <c r="X125" i="2"/>
  <c r="V124" i="2"/>
  <c r="T123" i="2"/>
  <c r="X121" i="2"/>
  <c r="S125" i="2"/>
  <c r="W123" i="2"/>
  <c r="U122" i="2"/>
  <c r="S121" i="2"/>
  <c r="S123" i="2"/>
  <c r="V120" i="2"/>
  <c r="U124" i="2"/>
  <c r="W121" i="2"/>
  <c r="W125" i="2"/>
  <c r="U120" i="2"/>
  <c r="N193" i="2"/>
  <c r="P192" i="2"/>
  <c r="L192" i="2"/>
  <c r="N191" i="2"/>
  <c r="P190" i="2"/>
  <c r="L190" i="2"/>
  <c r="N189" i="2"/>
  <c r="P188" i="2"/>
  <c r="L188" i="2"/>
  <c r="P193" i="2"/>
  <c r="K193" i="2"/>
  <c r="K192" i="2"/>
  <c r="L191" i="2"/>
  <c r="M190" i="2"/>
  <c r="M189" i="2"/>
  <c r="N188" i="2"/>
  <c r="O192" i="2"/>
  <c r="O191" i="2"/>
  <c r="N190" i="2"/>
  <c r="L189" i="2"/>
  <c r="K188" i="2"/>
  <c r="O193" i="2"/>
  <c r="N192" i="2"/>
  <c r="M191" i="2"/>
  <c r="K190" i="2"/>
  <c r="K189" i="2"/>
  <c r="L193" i="2"/>
  <c r="O190" i="2"/>
  <c r="M188" i="2"/>
  <c r="M192" i="2"/>
  <c r="P189" i="2"/>
  <c r="K191" i="2"/>
  <c r="O189" i="2"/>
  <c r="M193" i="2"/>
  <c r="P191" i="2"/>
  <c r="O188" i="2"/>
  <c r="V92" i="2"/>
  <c r="X91" i="2"/>
  <c r="T91" i="2"/>
  <c r="V90" i="2"/>
  <c r="X89" i="2"/>
  <c r="T89" i="2"/>
  <c r="V88" i="2"/>
  <c r="X87" i="2"/>
  <c r="T87" i="2"/>
  <c r="W92" i="2"/>
  <c r="W91" i="2"/>
  <c r="X90" i="2"/>
  <c r="S90" i="2"/>
  <c r="S89" i="2"/>
  <c r="T88" i="2"/>
  <c r="U87" i="2"/>
  <c r="U92" i="2"/>
  <c r="V91" i="2"/>
  <c r="W90" i="2"/>
  <c r="W89" i="2"/>
  <c r="X88" i="2"/>
  <c r="S88" i="2"/>
  <c r="S87" i="2"/>
  <c r="X92" i="2"/>
  <c r="S91" i="2"/>
  <c r="U89" i="2"/>
  <c r="V87" i="2"/>
  <c r="S92" i="2"/>
  <c r="T90" i="2"/>
  <c r="U88" i="2"/>
  <c r="U91" i="2"/>
  <c r="V89" i="2"/>
  <c r="W87" i="2"/>
  <c r="T92" i="2"/>
  <c r="U90" i="2"/>
  <c r="W88" i="2"/>
  <c r="AT193" i="2"/>
  <c r="AV192" i="2"/>
  <c r="AR192" i="2"/>
  <c r="AT191" i="2"/>
  <c r="AV190" i="2"/>
  <c r="AR190" i="2"/>
  <c r="AT189" i="2"/>
  <c r="AV188" i="2"/>
  <c r="AR188" i="2"/>
  <c r="AV193" i="2"/>
  <c r="AQ193" i="2"/>
  <c r="AQ192" i="2"/>
  <c r="AR191" i="2"/>
  <c r="AS190" i="2"/>
  <c r="AS189" i="2"/>
  <c r="AT188" i="2"/>
  <c r="AR193" i="2"/>
  <c r="AV191" i="2"/>
  <c r="AU190" i="2"/>
  <c r="AU189" i="2"/>
  <c r="AS188" i="2"/>
  <c r="AU192" i="2"/>
  <c r="AU191" i="2"/>
  <c r="AT190" i="2"/>
  <c r="AR189" i="2"/>
  <c r="AQ188" i="2"/>
  <c r="AS192" i="2"/>
  <c r="AV189" i="2"/>
  <c r="AU193" i="2"/>
  <c r="AS191" i="2"/>
  <c r="AQ189" i="2"/>
  <c r="AQ190" i="2"/>
  <c r="AS193" i="2"/>
  <c r="AU188" i="2"/>
  <c r="AT192" i="2"/>
  <c r="AQ191" i="2"/>
  <c r="N92" i="2"/>
  <c r="P91" i="2"/>
  <c r="L91" i="2"/>
  <c r="N90" i="2"/>
  <c r="P89" i="2"/>
  <c r="L89" i="2"/>
  <c r="N88" i="2"/>
  <c r="P87" i="2"/>
  <c r="L87" i="2"/>
  <c r="P92" i="2"/>
  <c r="K92" i="2"/>
  <c r="K91" i="2"/>
  <c r="L90" i="2"/>
  <c r="M89" i="2"/>
  <c r="M88" i="2"/>
  <c r="N87" i="2"/>
  <c r="O92" i="2"/>
  <c r="O91" i="2"/>
  <c r="P90" i="2"/>
  <c r="K90" i="2"/>
  <c r="K89" i="2"/>
  <c r="L88" i="2"/>
  <c r="M87" i="2"/>
  <c r="M91" i="2"/>
  <c r="N89" i="2"/>
  <c r="O87" i="2"/>
  <c r="L92" i="2"/>
  <c r="M90" i="2"/>
  <c r="O88" i="2"/>
  <c r="N91" i="2"/>
  <c r="O89" i="2"/>
  <c r="K88" i="2"/>
  <c r="M92" i="2"/>
  <c r="O90" i="2"/>
  <c r="P88" i="2"/>
  <c r="K87" i="2"/>
  <c r="AA12" i="2"/>
  <c r="AU176" i="2"/>
  <c r="AQ176" i="2"/>
  <c r="AS175" i="2"/>
  <c r="AU174" i="2"/>
  <c r="AQ174" i="2"/>
  <c r="AS173" i="2"/>
  <c r="AU172" i="2"/>
  <c r="AQ172" i="2"/>
  <c r="AS171" i="2"/>
  <c r="AV176" i="2"/>
  <c r="AV175" i="2"/>
  <c r="AQ175" i="2"/>
  <c r="AR174" i="2"/>
  <c r="AR173" i="2"/>
  <c r="AS172" i="2"/>
  <c r="AT171" i="2"/>
  <c r="AT176" i="2"/>
  <c r="AT175" i="2"/>
  <c r="AS174" i="2"/>
  <c r="AQ173" i="2"/>
  <c r="AV171" i="2"/>
  <c r="AS176" i="2"/>
  <c r="AR175" i="2"/>
  <c r="AV173" i="2"/>
  <c r="AV172" i="2"/>
  <c r="AU171" i="2"/>
  <c r="AV174" i="2"/>
  <c r="AT172" i="2"/>
  <c r="AT174" i="2"/>
  <c r="AR172" i="2"/>
  <c r="AT173" i="2"/>
  <c r="AR176" i="2"/>
  <c r="AR171" i="2"/>
  <c r="AU173" i="2"/>
  <c r="AQ171" i="2"/>
  <c r="AU175" i="2"/>
  <c r="N125" i="2"/>
  <c r="P124" i="2"/>
  <c r="L124" i="2"/>
  <c r="N123" i="2"/>
  <c r="P122" i="2"/>
  <c r="L122" i="2"/>
  <c r="N121" i="2"/>
  <c r="P120" i="2"/>
  <c r="L120" i="2"/>
  <c r="M125" i="2"/>
  <c r="O124" i="2"/>
  <c r="K124" i="2"/>
  <c r="M123" i="2"/>
  <c r="O122" i="2"/>
  <c r="K122" i="2"/>
  <c r="M121" i="2"/>
  <c r="O120" i="2"/>
  <c r="K120" i="2"/>
  <c r="P125" i="2"/>
  <c r="N124" i="2"/>
  <c r="L123" i="2"/>
  <c r="P121" i="2"/>
  <c r="N120" i="2"/>
  <c r="O125" i="2"/>
  <c r="M124" i="2"/>
  <c r="K123" i="2"/>
  <c r="O121" i="2"/>
  <c r="M120" i="2"/>
  <c r="P123" i="2"/>
  <c r="L121" i="2"/>
  <c r="L125" i="2"/>
  <c r="N122" i="2"/>
  <c r="K125" i="2"/>
  <c r="O123" i="2"/>
  <c r="K121" i="2"/>
  <c r="M122" i="2"/>
  <c r="X109" i="2"/>
  <c r="T109" i="2"/>
  <c r="V108" i="2"/>
  <c r="X107" i="2"/>
  <c r="T107" i="2"/>
  <c r="V106" i="2"/>
  <c r="X105" i="2"/>
  <c r="T105" i="2"/>
  <c r="V104" i="2"/>
  <c r="S109" i="2"/>
  <c r="T108" i="2"/>
  <c r="U107" i="2"/>
  <c r="U106" i="2"/>
  <c r="V105" i="2"/>
  <c r="W104" i="2"/>
  <c r="W109" i="2"/>
  <c r="X108" i="2"/>
  <c r="S108" i="2"/>
  <c r="S107" i="2"/>
  <c r="T106" i="2"/>
  <c r="U105" i="2"/>
  <c r="U104" i="2"/>
  <c r="U109" i="2"/>
  <c r="V107" i="2"/>
  <c r="W105" i="2"/>
  <c r="S104" i="2"/>
  <c r="V109" i="2"/>
  <c r="W107" i="2"/>
  <c r="T104" i="2"/>
  <c r="W108" i="2"/>
  <c r="X106" i="2"/>
  <c r="S105" i="2"/>
  <c r="U108" i="2"/>
  <c r="W106" i="2"/>
  <c r="X104" i="2"/>
  <c r="S106" i="2"/>
  <c r="U142" i="2"/>
  <c r="W141" i="2"/>
  <c r="S141" i="2"/>
  <c r="U140" i="2"/>
  <c r="W139" i="2"/>
  <c r="S139" i="2"/>
  <c r="U138" i="2"/>
  <c r="W137" i="2"/>
  <c r="S137" i="2"/>
  <c r="V142" i="2"/>
  <c r="V141" i="2"/>
  <c r="W140" i="2"/>
  <c r="X139" i="2"/>
  <c r="X138" i="2"/>
  <c r="S138" i="2"/>
  <c r="T137" i="2"/>
  <c r="T142" i="2"/>
  <c r="U141" i="2"/>
  <c r="V140" i="2"/>
  <c r="V139" i="2"/>
  <c r="W138" i="2"/>
  <c r="X137" i="2"/>
  <c r="S142" i="2"/>
  <c r="T140" i="2"/>
  <c r="V138" i="2"/>
  <c r="X142" i="2"/>
  <c r="U139" i="2"/>
  <c r="V137" i="2"/>
  <c r="X141" i="2"/>
  <c r="S140" i="2"/>
  <c r="T138" i="2"/>
  <c r="T141" i="2"/>
  <c r="T139" i="2"/>
  <c r="W142" i="2"/>
  <c r="U137" i="2"/>
  <c r="X140" i="2"/>
  <c r="AA13" i="2"/>
  <c r="Z14" i="2"/>
  <c r="AA14" i="2" s="1"/>
  <c r="AA7" i="2"/>
  <c r="AA15" i="2"/>
  <c r="H109" i="2"/>
  <c r="D109" i="2"/>
  <c r="F108" i="2"/>
  <c r="H107" i="2"/>
  <c r="D107" i="2"/>
  <c r="F106" i="2"/>
  <c r="H105" i="2"/>
  <c r="D105" i="2"/>
  <c r="F104" i="2"/>
  <c r="F109" i="2"/>
  <c r="G108" i="2"/>
  <c r="G107" i="2"/>
  <c r="H106" i="2"/>
  <c r="C106" i="2"/>
  <c r="C105" i="2"/>
  <c r="D104" i="2"/>
  <c r="E109" i="2"/>
  <c r="E108" i="2"/>
  <c r="F107" i="2"/>
  <c r="G106" i="2"/>
  <c r="G105" i="2"/>
  <c r="H104" i="2"/>
  <c r="C104" i="2"/>
  <c r="G109" i="2"/>
  <c r="C108" i="2"/>
  <c r="D106" i="2"/>
  <c r="E104" i="2"/>
  <c r="C109" i="2"/>
  <c r="E107" i="2"/>
  <c r="F105" i="2"/>
  <c r="H108" i="2"/>
  <c r="C107" i="2"/>
  <c r="E105" i="2"/>
  <c r="D108" i="2"/>
  <c r="E106" i="2"/>
  <c r="G104" i="2"/>
  <c r="AL193" i="2"/>
  <c r="AN192" i="2"/>
  <c r="AJ192" i="2"/>
  <c r="AL191" i="2"/>
  <c r="AN190" i="2"/>
  <c r="AJ190" i="2"/>
  <c r="AL189" i="2"/>
  <c r="AN188" i="2"/>
  <c r="AJ188" i="2"/>
  <c r="AJ193" i="2"/>
  <c r="AK192" i="2"/>
  <c r="AK191" i="2"/>
  <c r="AL190" i="2"/>
  <c r="AM189" i="2"/>
  <c r="AM188" i="2"/>
  <c r="AK193" i="2"/>
  <c r="AI192" i="2"/>
  <c r="AI191" i="2"/>
  <c r="AN189" i="2"/>
  <c r="AL188" i="2"/>
  <c r="AI193" i="2"/>
  <c r="AN191" i="2"/>
  <c r="AM190" i="2"/>
  <c r="AK189" i="2"/>
  <c r="AK188" i="2"/>
  <c r="AL192" i="2"/>
  <c r="AI190" i="2"/>
  <c r="AN193" i="2"/>
  <c r="AM191" i="2"/>
  <c r="AJ189" i="2"/>
  <c r="AM192" i="2"/>
  <c r="AI188" i="2"/>
  <c r="AJ191" i="2"/>
  <c r="AM193" i="2"/>
  <c r="AK190" i="2"/>
  <c r="AI189" i="2"/>
  <c r="BJ193" i="2"/>
  <c r="BL192" i="2"/>
  <c r="BH192" i="2"/>
  <c r="BJ191" i="2"/>
  <c r="BL190" i="2"/>
  <c r="BH190" i="2"/>
  <c r="BJ189" i="2"/>
  <c r="BL188" i="2"/>
  <c r="BH188" i="2"/>
  <c r="BI193" i="2"/>
  <c r="BJ192" i="2"/>
  <c r="BK191" i="2"/>
  <c r="BK190" i="2"/>
  <c r="BL189" i="2"/>
  <c r="BG189" i="2"/>
  <c r="BG188" i="2"/>
  <c r="BL193" i="2"/>
  <c r="BK192" i="2"/>
  <c r="BI191" i="2"/>
  <c r="BI190" i="2"/>
  <c r="BH189" i="2"/>
  <c r="BK193" i="2"/>
  <c r="BI192" i="2"/>
  <c r="BH191" i="2"/>
  <c r="BG190" i="2"/>
  <c r="BK188" i="2"/>
  <c r="BL191" i="2"/>
  <c r="BI189" i="2"/>
  <c r="BH193" i="2"/>
  <c r="BG191" i="2"/>
  <c r="BJ188" i="2"/>
  <c r="BK189" i="2"/>
  <c r="BG193" i="2"/>
  <c r="BI188" i="2"/>
  <c r="BJ190" i="2"/>
  <c r="BG192" i="2"/>
  <c r="W314" i="2"/>
  <c r="AE159" i="2"/>
  <c r="AA159" i="2"/>
  <c r="AC158" i="2"/>
  <c r="AE157" i="2"/>
  <c r="AA157" i="2"/>
  <c r="AC156" i="2"/>
  <c r="AE155" i="2"/>
  <c r="AA155" i="2"/>
  <c r="AC154" i="2"/>
  <c r="AD159" i="2"/>
  <c r="AF158" i="2"/>
  <c r="AB158" i="2"/>
  <c r="AD157" i="2"/>
  <c r="AF156" i="2"/>
  <c r="AB156" i="2"/>
  <c r="AD155" i="2"/>
  <c r="AF154" i="2"/>
  <c r="AB154" i="2"/>
  <c r="AE158" i="2"/>
  <c r="AC157" i="2"/>
  <c r="AA156" i="2"/>
  <c r="AE154" i="2"/>
  <c r="AF159" i="2"/>
  <c r="AD158" i="2"/>
  <c r="AB157" i="2"/>
  <c r="AF155" i="2"/>
  <c r="AD154" i="2"/>
  <c r="AA158" i="2"/>
  <c r="AC155" i="2"/>
  <c r="AF157" i="2"/>
  <c r="AB155" i="2"/>
  <c r="AC159" i="2"/>
  <c r="AE156" i="2"/>
  <c r="AA154" i="2"/>
  <c r="AD156" i="2"/>
  <c r="AB159" i="2"/>
  <c r="F92" i="2"/>
  <c r="H91" i="2"/>
  <c r="D91" i="2"/>
  <c r="F90" i="2"/>
  <c r="H89" i="2"/>
  <c r="D89" i="2"/>
  <c r="F88" i="2"/>
  <c r="H87" i="2"/>
  <c r="D87" i="2"/>
  <c r="D92" i="2"/>
  <c r="E91" i="2"/>
  <c r="E90" i="2"/>
  <c r="F89" i="2"/>
  <c r="G88" i="2"/>
  <c r="G87" i="2"/>
  <c r="H92" i="2"/>
  <c r="C92" i="2"/>
  <c r="C91" i="2"/>
  <c r="D90" i="2"/>
  <c r="E89" i="2"/>
  <c r="E88" i="2"/>
  <c r="F87" i="2"/>
  <c r="F91" i="2"/>
  <c r="G89" i="2"/>
  <c r="C88" i="2"/>
  <c r="G90" i="2"/>
  <c r="H88" i="2"/>
  <c r="C87" i="2"/>
  <c r="G91" i="2"/>
  <c r="C90" i="2"/>
  <c r="D88" i="2"/>
  <c r="G92" i="2"/>
  <c r="H90" i="2"/>
  <c r="C89" i="2"/>
  <c r="E87" i="2"/>
  <c r="E92" i="2"/>
  <c r="AL92" i="2"/>
  <c r="AN91" i="2"/>
  <c r="AJ91" i="2"/>
  <c r="AL90" i="2"/>
  <c r="AN89" i="2"/>
  <c r="AJ89" i="2"/>
  <c r="AL88" i="2"/>
  <c r="AN87" i="2"/>
  <c r="AJ87" i="2"/>
  <c r="AJ92" i="2"/>
  <c r="AK91" i="2"/>
  <c r="AK90" i="2"/>
  <c r="AL89" i="2"/>
  <c r="AM88" i="2"/>
  <c r="AM87" i="2"/>
  <c r="AN92" i="2"/>
  <c r="AI92" i="2"/>
  <c r="AI91" i="2"/>
  <c r="AJ90" i="2"/>
  <c r="AK89" i="2"/>
  <c r="AK88" i="2"/>
  <c r="AL87" i="2"/>
  <c r="AK92" i="2"/>
  <c r="AM90" i="2"/>
  <c r="AN88" i="2"/>
  <c r="AI87" i="2"/>
  <c r="AL91" i="2"/>
  <c r="AM89" i="2"/>
  <c r="AI88" i="2"/>
  <c r="AM91" i="2"/>
  <c r="AI90" i="2"/>
  <c r="AJ88" i="2"/>
  <c r="AM92" i="2"/>
  <c r="AN90" i="2"/>
  <c r="AI89" i="2"/>
  <c r="AK87" i="2"/>
  <c r="AM159" i="2"/>
  <c r="AI159" i="2"/>
  <c r="AK158" i="2"/>
  <c r="AM157" i="2"/>
  <c r="AI157" i="2"/>
  <c r="AK156" i="2"/>
  <c r="AM155" i="2"/>
  <c r="AI155" i="2"/>
  <c r="AK154" i="2"/>
  <c r="AL159" i="2"/>
  <c r="AN158" i="2"/>
  <c r="AJ158" i="2"/>
  <c r="AL157" i="2"/>
  <c r="AN156" i="2"/>
  <c r="AJ156" i="2"/>
  <c r="AL155" i="2"/>
  <c r="AN154" i="2"/>
  <c r="AJ154" i="2"/>
  <c r="AK159" i="2"/>
  <c r="AI158" i="2"/>
  <c r="AM156" i="2"/>
  <c r="AK155" i="2"/>
  <c r="AI154" i="2"/>
  <c r="AJ159" i="2"/>
  <c r="AN157" i="2"/>
  <c r="AL156" i="2"/>
  <c r="AJ155" i="2"/>
  <c r="AM158" i="2"/>
  <c r="AI156" i="2"/>
  <c r="AL158" i="2"/>
  <c r="AN155" i="2"/>
  <c r="AK157" i="2"/>
  <c r="AM154" i="2"/>
  <c r="AL154" i="2"/>
  <c r="AJ157" i="2"/>
  <c r="AN159" i="2"/>
  <c r="BR193" i="2"/>
  <c r="BT192" i="2"/>
  <c r="BP192" i="2"/>
  <c r="BR191" i="2"/>
  <c r="BT190" i="2"/>
  <c r="BP190" i="2"/>
  <c r="BR189" i="2"/>
  <c r="BT188" i="2"/>
  <c r="BP188" i="2"/>
  <c r="BP193" i="2"/>
  <c r="BQ192" i="2"/>
  <c r="BQ191" i="2"/>
  <c r="BR190" i="2"/>
  <c r="BS189" i="2"/>
  <c r="BS188" i="2"/>
  <c r="BS193" i="2"/>
  <c r="BR192" i="2"/>
  <c r="BP191" i="2"/>
  <c r="BO190" i="2"/>
  <c r="BO189" i="2"/>
  <c r="BQ193" i="2"/>
  <c r="BO192" i="2"/>
  <c r="BO191" i="2"/>
  <c r="BT189" i="2"/>
  <c r="BR188" i="2"/>
  <c r="BT193" i="2"/>
  <c r="BS191" i="2"/>
  <c r="BP189" i="2"/>
  <c r="BO193" i="2"/>
  <c r="BS190" i="2"/>
  <c r="BQ188" i="2"/>
  <c r="BT191" i="2"/>
  <c r="BQ190" i="2"/>
  <c r="BS192" i="2"/>
  <c r="BQ189" i="2"/>
  <c r="BO188" i="2"/>
  <c r="O159" i="2"/>
  <c r="K159" i="2"/>
  <c r="M158" i="2"/>
  <c r="O157" i="2"/>
  <c r="K157" i="2"/>
  <c r="M156" i="2"/>
  <c r="O155" i="2"/>
  <c r="K155" i="2"/>
  <c r="M154" i="2"/>
  <c r="N159" i="2"/>
  <c r="P158" i="2"/>
  <c r="L158" i="2"/>
  <c r="N157" i="2"/>
  <c r="P156" i="2"/>
  <c r="L156" i="2"/>
  <c r="N155" i="2"/>
  <c r="P154" i="2"/>
  <c r="L154" i="2"/>
  <c r="O158" i="2"/>
  <c r="M157" i="2"/>
  <c r="K156" i="2"/>
  <c r="O154" i="2"/>
  <c r="P159" i="2"/>
  <c r="N158" i="2"/>
  <c r="L157" i="2"/>
  <c r="P155" i="2"/>
  <c r="N154" i="2"/>
  <c r="M159" i="2"/>
  <c r="O156" i="2"/>
  <c r="K154" i="2"/>
  <c r="L159" i="2"/>
  <c r="N156" i="2"/>
  <c r="K158" i="2"/>
  <c r="M155" i="2"/>
  <c r="L155" i="2"/>
  <c r="P157" i="2"/>
  <c r="AT92" i="2"/>
  <c r="AV91" i="2"/>
  <c r="AR91" i="2"/>
  <c r="AT90" i="2"/>
  <c r="AV89" i="2"/>
  <c r="AR89" i="2"/>
  <c r="AT88" i="2"/>
  <c r="AV87" i="2"/>
  <c r="AR87" i="2"/>
  <c r="AV92" i="2"/>
  <c r="AQ92" i="2"/>
  <c r="AQ91" i="2"/>
  <c r="AR90" i="2"/>
  <c r="AS89" i="2"/>
  <c r="AS88" i="2"/>
  <c r="AT87" i="2"/>
  <c r="AU92" i="2"/>
  <c r="AU91" i="2"/>
  <c r="AV90" i="2"/>
  <c r="AQ90" i="2"/>
  <c r="AQ89" i="2"/>
  <c r="AR88" i="2"/>
  <c r="AS87" i="2"/>
  <c r="AR92" i="2"/>
  <c r="AS90" i="2"/>
  <c r="AU88" i="2"/>
  <c r="AS91" i="2"/>
  <c r="AT89" i="2"/>
  <c r="AU87" i="2"/>
  <c r="AT91" i="2"/>
  <c r="AU89" i="2"/>
  <c r="AQ88" i="2"/>
  <c r="AS92" i="2"/>
  <c r="AU90" i="2"/>
  <c r="AV88" i="2"/>
  <c r="AQ87" i="2"/>
  <c r="AD125" i="2"/>
  <c r="AF124" i="2"/>
  <c r="AB124" i="2"/>
  <c r="AD123" i="2"/>
  <c r="AF122" i="2"/>
  <c r="AB122" i="2"/>
  <c r="AD121" i="2"/>
  <c r="AF120" i="2"/>
  <c r="AB120" i="2"/>
  <c r="AC125" i="2"/>
  <c r="AE124" i="2"/>
  <c r="AA124" i="2"/>
  <c r="AC123" i="2"/>
  <c r="AE122" i="2"/>
  <c r="AA122" i="2"/>
  <c r="AC121" i="2"/>
  <c r="AE120" i="2"/>
  <c r="AA120" i="2"/>
  <c r="AF125" i="2"/>
  <c r="AD124" i="2"/>
  <c r="AB123" i="2"/>
  <c r="AF121" i="2"/>
  <c r="AD120" i="2"/>
  <c r="AE125" i="2"/>
  <c r="AC124" i="2"/>
  <c r="AA123" i="2"/>
  <c r="AE121" i="2"/>
  <c r="AC120" i="2"/>
  <c r="AB125" i="2"/>
  <c r="AF123" i="2"/>
  <c r="AD122" i="2"/>
  <c r="AB121" i="2"/>
  <c r="AA121" i="2"/>
  <c r="AE123" i="2"/>
  <c r="AA125" i="2"/>
  <c r="AC122" i="2"/>
  <c r="V193" i="2"/>
  <c r="X192" i="2"/>
  <c r="T192" i="2"/>
  <c r="V191" i="2"/>
  <c r="X190" i="2"/>
  <c r="T190" i="2"/>
  <c r="V189" i="2"/>
  <c r="X188" i="2"/>
  <c r="T188" i="2"/>
  <c r="W193" i="2"/>
  <c r="W192" i="2"/>
  <c r="X191" i="2"/>
  <c r="S191" i="2"/>
  <c r="S190" i="2"/>
  <c r="T189" i="2"/>
  <c r="U188" i="2"/>
  <c r="X193" i="2"/>
  <c r="V192" i="2"/>
  <c r="U191" i="2"/>
  <c r="U190" i="2"/>
  <c r="S189" i="2"/>
  <c r="U193" i="2"/>
  <c r="U192" i="2"/>
  <c r="T191" i="2"/>
  <c r="X189" i="2"/>
  <c r="W188" i="2"/>
  <c r="S193" i="2"/>
  <c r="V190" i="2"/>
  <c r="S188" i="2"/>
  <c r="S192" i="2"/>
  <c r="W189" i="2"/>
  <c r="T193" i="2"/>
  <c r="V188" i="2"/>
  <c r="W191" i="2"/>
  <c r="U189" i="2"/>
  <c r="W190" i="2"/>
  <c r="BD159" i="2"/>
  <c r="AZ159" i="2"/>
  <c r="BB158" i="2"/>
  <c r="BD157" i="2"/>
  <c r="AZ157" i="2"/>
  <c r="BB156" i="2"/>
  <c r="BD155" i="2"/>
  <c r="AZ155" i="2"/>
  <c r="BB154" i="2"/>
  <c r="BC159" i="2"/>
  <c r="BD158" i="2"/>
  <c r="AY158" i="2"/>
  <c r="AY157" i="2"/>
  <c r="AZ156" i="2"/>
  <c r="BA155" i="2"/>
  <c r="BA154" i="2"/>
  <c r="BB159" i="2"/>
  <c r="BC158" i="2"/>
  <c r="BC157" i="2"/>
  <c r="BD156" i="2"/>
  <c r="AY156" i="2"/>
  <c r="AY155" i="2"/>
  <c r="AZ154" i="2"/>
  <c r="BA158" i="2"/>
  <c r="BC156" i="2"/>
  <c r="BD154" i="2"/>
  <c r="AZ158" i="2"/>
  <c r="BA156" i="2"/>
  <c r="BC154" i="2"/>
  <c r="BB157" i="2"/>
  <c r="AY154" i="2"/>
  <c r="BA159" i="2"/>
  <c r="BA157" i="2"/>
  <c r="BC155" i="2"/>
  <c r="AY159" i="2"/>
  <c r="BB155" i="2"/>
  <c r="BB92" i="2"/>
  <c r="BD91" i="2"/>
  <c r="AZ91" i="2"/>
  <c r="BB90" i="2"/>
  <c r="BD89" i="2"/>
  <c r="AZ89" i="2"/>
  <c r="BB88" i="2"/>
  <c r="BD87" i="2"/>
  <c r="AZ87" i="2"/>
  <c r="BC92" i="2"/>
  <c r="BC91" i="2"/>
  <c r="BD90" i="2"/>
  <c r="AY90" i="2"/>
  <c r="AY89" i="2"/>
  <c r="AZ88" i="2"/>
  <c r="BA87" i="2"/>
  <c r="BA92" i="2"/>
  <c r="BB91" i="2"/>
  <c r="BC90" i="2"/>
  <c r="BC89" i="2"/>
  <c r="BD88" i="2"/>
  <c r="AY88" i="2"/>
  <c r="AY87" i="2"/>
  <c r="AY92" i="2"/>
  <c r="AZ90" i="2"/>
  <c r="BA88" i="2"/>
  <c r="BD92" i="2"/>
  <c r="BA89" i="2"/>
  <c r="BB87" i="2"/>
  <c r="AZ92" i="2"/>
  <c r="BA90" i="2"/>
  <c r="BC88" i="2"/>
  <c r="BA91" i="2"/>
  <c r="BB89" i="2"/>
  <c r="BC87" i="2"/>
  <c r="AY91" i="2"/>
  <c r="AL125" i="2"/>
  <c r="AN124" i="2"/>
  <c r="AJ124" i="2"/>
  <c r="AL123" i="2"/>
  <c r="AN122" i="2"/>
  <c r="AJ122" i="2"/>
  <c r="AL121" i="2"/>
  <c r="AN120" i="2"/>
  <c r="AJ120" i="2"/>
  <c r="AK125" i="2"/>
  <c r="AM124" i="2"/>
  <c r="AI124" i="2"/>
  <c r="AK123" i="2"/>
  <c r="AM122" i="2"/>
  <c r="AI122" i="2"/>
  <c r="AK121" i="2"/>
  <c r="AM120" i="2"/>
  <c r="AI120" i="2"/>
  <c r="AJ125" i="2"/>
  <c r="AN123" i="2"/>
  <c r="AL122" i="2"/>
  <c r="AJ121" i="2"/>
  <c r="AI125" i="2"/>
  <c r="AM123" i="2"/>
  <c r="AK122" i="2"/>
  <c r="AI121" i="2"/>
  <c r="AN125" i="2"/>
  <c r="AL124" i="2"/>
  <c r="AJ123" i="2"/>
  <c r="AN121" i="2"/>
  <c r="AL120" i="2"/>
  <c r="AK124" i="2"/>
  <c r="AM121" i="2"/>
  <c r="AM125" i="2"/>
  <c r="AI123" i="2"/>
  <c r="AK120" i="2"/>
  <c r="E142" i="2"/>
  <c r="G141" i="2"/>
  <c r="C141" i="2"/>
  <c r="E140" i="2"/>
  <c r="G139" i="2"/>
  <c r="C139" i="2"/>
  <c r="E138" i="2"/>
  <c r="G137" i="2"/>
  <c r="C137" i="2"/>
  <c r="H142" i="2"/>
  <c r="C142" i="2"/>
  <c r="D141" i="2"/>
  <c r="D140" i="2"/>
  <c r="E139" i="2"/>
  <c r="F138" i="2"/>
  <c r="F137" i="2"/>
  <c r="G142" i="2"/>
  <c r="H141" i="2"/>
  <c r="H140" i="2"/>
  <c r="C140" i="2"/>
  <c r="D139" i="2"/>
  <c r="D138" i="2"/>
  <c r="E137" i="2"/>
  <c r="F142" i="2"/>
  <c r="G140" i="2"/>
  <c r="H138" i="2"/>
  <c r="D137" i="2"/>
  <c r="H139" i="2"/>
  <c r="C138" i="2"/>
  <c r="D142" i="2"/>
  <c r="F140" i="2"/>
  <c r="G138" i="2"/>
  <c r="F141" i="2"/>
  <c r="F139" i="2"/>
  <c r="E141" i="2"/>
  <c r="H137" i="2"/>
  <c r="G176" i="2"/>
  <c r="C176" i="2"/>
  <c r="E175" i="2"/>
  <c r="G174" i="2"/>
  <c r="C174" i="2"/>
  <c r="E173" i="2"/>
  <c r="G172" i="2"/>
  <c r="C172" i="2"/>
  <c r="E171" i="2"/>
  <c r="E176" i="2"/>
  <c r="F175" i="2"/>
  <c r="F174" i="2"/>
  <c r="G173" i="2"/>
  <c r="H172" i="2"/>
  <c r="H171" i="2"/>
  <c r="C171" i="2"/>
  <c r="D176" i="2"/>
  <c r="D175" i="2"/>
  <c r="E174" i="2"/>
  <c r="F173" i="2"/>
  <c r="F172" i="2"/>
  <c r="G171" i="2"/>
  <c r="H176" i="2"/>
  <c r="C175" i="2"/>
  <c r="D173" i="2"/>
  <c r="F171" i="2"/>
  <c r="F176" i="2"/>
  <c r="H174" i="2"/>
  <c r="C173" i="2"/>
  <c r="D171" i="2"/>
  <c r="H173" i="2"/>
  <c r="H175" i="2"/>
  <c r="E172" i="2"/>
  <c r="D174" i="2"/>
  <c r="D172" i="2"/>
  <c r="G175" i="2"/>
  <c r="M30" i="2" l="1"/>
  <c r="N30" i="2"/>
  <c r="M28" i="2"/>
  <c r="N28" i="2"/>
  <c r="M29" i="2"/>
  <c r="N29" i="2"/>
  <c r="V314" i="2"/>
  <c r="AB15" i="2"/>
  <c r="V21" i="2"/>
  <c r="Y10" i="2"/>
  <c r="V24" i="2" l="1"/>
  <c r="AX120" i="2" s="1" a="1"/>
  <c r="Y16" i="2"/>
  <c r="Y314" i="2"/>
  <c r="Z314" i="2" s="1"/>
  <c r="AX171" i="2" l="1" a="1"/>
  <c r="AX175" i="2" s="1"/>
  <c r="AP120" i="2" a="1"/>
  <c r="AP124" i="2" s="1"/>
  <c r="U61" i="2" s="1"/>
  <c r="J188" i="2" a="1"/>
  <c r="J189" i="2" s="1"/>
  <c r="AX154" i="2" a="1"/>
  <c r="AX157" i="2" s="1"/>
  <c r="AJ60" i="2" s="1"/>
  <c r="Z154" i="2" a="1"/>
  <c r="Z154" i="2" s="1"/>
  <c r="AX104" i="2" a="1"/>
  <c r="AX104" i="2" s="1"/>
  <c r="AH137" i="2" a="1"/>
  <c r="AH138" i="2" s="1"/>
  <c r="AA58" i="2" s="1"/>
  <c r="AH188" i="2" a="1"/>
  <c r="AH189" i="2" s="1"/>
  <c r="B171" i="2" a="1"/>
  <c r="B171" i="2" s="1"/>
  <c r="BN171" i="2" a="1"/>
  <c r="BN171" i="2" s="1"/>
  <c r="AP87" i="2" a="1"/>
  <c r="AP92" i="2" s="1"/>
  <c r="G62" i="2" s="1"/>
  <c r="J154" i="2" a="1"/>
  <c r="J155" i="2" s="1"/>
  <c r="AE58" i="2" s="1"/>
  <c r="AH171" i="2" a="1"/>
  <c r="AH175" i="2" s="1"/>
  <c r="AP137" i="2" a="1"/>
  <c r="AP139" i="2" s="1"/>
  <c r="AB59" i="2" s="1"/>
  <c r="Z87" i="2" a="1"/>
  <c r="Z91" i="2" s="1"/>
  <c r="E61" i="2" s="1"/>
  <c r="Z188" i="2" a="1"/>
  <c r="Z192" i="2" s="1"/>
  <c r="BN188" i="2" a="1"/>
  <c r="BN193" i="2" s="1"/>
  <c r="AH87" i="2" a="1"/>
  <c r="AH92" i="2" s="1"/>
  <c r="F62" i="2" s="1"/>
  <c r="AH120" i="2" a="1"/>
  <c r="AH125" i="2" s="1"/>
  <c r="T62" i="2" s="1"/>
  <c r="R171" i="2" a="1"/>
  <c r="R174" i="2" s="1"/>
  <c r="AH154" i="2" a="1"/>
  <c r="AH155" i="2" s="1"/>
  <c r="AH58" i="2" s="1"/>
  <c r="AP171" i="2" a="1"/>
  <c r="AP175" i="2" s="1"/>
  <c r="Z137" i="2" a="1"/>
  <c r="Z138" i="2" s="1"/>
  <c r="Z58" i="2" s="1"/>
  <c r="AP188" i="2" a="1"/>
  <c r="AP190" i="2" s="1"/>
  <c r="J104" i="2" a="1"/>
  <c r="J106" i="2" s="1"/>
  <c r="J59" i="2" s="1"/>
  <c r="B137" i="2" a="1"/>
  <c r="B137" i="2" s="1"/>
  <c r="AX188" i="2" a="1"/>
  <c r="AX191" i="2" s="1"/>
  <c r="V29" i="2"/>
  <c r="AX137" i="2" a="1"/>
  <c r="AX138" i="2" s="1"/>
  <c r="AC58" i="2" s="1"/>
  <c r="R104" i="2" a="1"/>
  <c r="R109" i="2" s="1"/>
  <c r="K62" i="2" s="1"/>
  <c r="Z171" i="2" a="1"/>
  <c r="Z173" i="2" s="1"/>
  <c r="R120" i="2" a="1"/>
  <c r="R123" i="2" s="1"/>
  <c r="R60" i="2" s="1"/>
  <c r="Z104" i="2" a="1"/>
  <c r="Z107" i="2" s="1"/>
  <c r="L60" i="2" s="1"/>
  <c r="R188" i="2" a="1"/>
  <c r="R192" i="2" s="1"/>
  <c r="BF171" i="2" a="1"/>
  <c r="BF173" i="2" s="1"/>
  <c r="B188" i="2" a="1"/>
  <c r="B192" i="2" s="1"/>
  <c r="R137" i="2" a="1"/>
  <c r="R142" i="2" s="1"/>
  <c r="Y62" i="2" s="1"/>
  <c r="R87" i="2" a="1"/>
  <c r="R89" i="2" s="1"/>
  <c r="D59" i="2" s="1"/>
  <c r="B87" i="2" a="1"/>
  <c r="B92" i="2" s="1"/>
  <c r="B62" i="2" s="1"/>
  <c r="J120" i="2" a="1"/>
  <c r="J120" i="2" s="1"/>
  <c r="R154" i="2" a="1"/>
  <c r="R154" i="2" s="1"/>
  <c r="B120" i="2" a="1"/>
  <c r="B125" i="2" s="1"/>
  <c r="P62" i="2" s="1"/>
  <c r="J171" i="2" a="1"/>
  <c r="J171" i="2" s="1"/>
  <c r="AB314" i="2"/>
  <c r="AD314" i="2" s="1"/>
  <c r="AC314" i="2" s="1"/>
  <c r="AA314" i="2"/>
  <c r="AX124" i="2"/>
  <c r="V61" i="2" s="1"/>
  <c r="AX120" i="2"/>
  <c r="AX123" i="2"/>
  <c r="V60" i="2" s="1"/>
  <c r="AX122" i="2"/>
  <c r="V59" i="2" s="1"/>
  <c r="AX125" i="2"/>
  <c r="V62" i="2" s="1"/>
  <c r="AX121" i="2"/>
  <c r="V58" i="2" s="1"/>
  <c r="AH140" i="2"/>
  <c r="AA60" i="2" s="1"/>
  <c r="B176" i="2"/>
  <c r="B154" i="2" a="1"/>
  <c r="AP154" i="2" a="1"/>
  <c r="AX87" i="2" a="1"/>
  <c r="J87" i="2" a="1"/>
  <c r="J137" i="2" a="1"/>
  <c r="Z120" i="2" a="1"/>
  <c r="BF188" i="2" a="1"/>
  <c r="AP104" i="2" a="1"/>
  <c r="B104" i="2" a="1"/>
  <c r="AH104" i="2" a="1"/>
  <c r="AX174" i="2" l="1"/>
  <c r="AZ60" i="2" s="1"/>
  <c r="AX172" i="2"/>
  <c r="AZ58" i="2" s="1"/>
  <c r="BN189" i="2"/>
  <c r="AT58" i="2" s="1"/>
  <c r="AX171" i="2"/>
  <c r="AZ57" i="2" s="1"/>
  <c r="AZ63" i="2" s="1"/>
  <c r="AX173" i="2"/>
  <c r="AZ59" i="2" s="1"/>
  <c r="AX176" i="2"/>
  <c r="AZ62" i="2" s="1"/>
  <c r="Z157" i="2"/>
  <c r="AG60" i="2" s="1"/>
  <c r="Z158" i="2"/>
  <c r="AG61" i="2" s="1"/>
  <c r="Z159" i="2"/>
  <c r="AG62" i="2" s="1"/>
  <c r="J191" i="2"/>
  <c r="BD60" i="2" s="1"/>
  <c r="AX139" i="2"/>
  <c r="AC59" i="2" s="1"/>
  <c r="AP120" i="2"/>
  <c r="U57" i="2" s="1"/>
  <c r="AX105" i="2"/>
  <c r="O58" i="2" s="1"/>
  <c r="AX109" i="2"/>
  <c r="O62" i="2" s="1"/>
  <c r="AP142" i="2"/>
  <c r="AB62" i="2" s="1"/>
  <c r="AP122" i="2"/>
  <c r="U59" i="2" s="1"/>
  <c r="AX158" i="2"/>
  <c r="AJ61" i="2" s="1"/>
  <c r="AP125" i="2"/>
  <c r="U62" i="2" s="1"/>
  <c r="R173" i="2"/>
  <c r="AX107" i="2"/>
  <c r="O60" i="2" s="1"/>
  <c r="AX106" i="2"/>
  <c r="O59" i="2" s="1"/>
  <c r="AP123" i="2"/>
  <c r="U60" i="2" s="1"/>
  <c r="AX108" i="2"/>
  <c r="O61" i="2" s="1"/>
  <c r="J159" i="2"/>
  <c r="AE62" i="2" s="1"/>
  <c r="Z189" i="2"/>
  <c r="BF58" i="2" s="1"/>
  <c r="AP189" i="2"/>
  <c r="AQ58" i="2" s="1"/>
  <c r="AH122" i="2"/>
  <c r="T59" i="2" s="1"/>
  <c r="BN175" i="2"/>
  <c r="BB61" i="2" s="1"/>
  <c r="AX159" i="2"/>
  <c r="AJ62" i="2" s="1"/>
  <c r="AP121" i="2"/>
  <c r="U58" i="2" s="1"/>
  <c r="Z92" i="2"/>
  <c r="E62" i="2" s="1"/>
  <c r="J193" i="2"/>
  <c r="BD62" i="2" s="1"/>
  <c r="AH191" i="2"/>
  <c r="BG60" i="2" s="1"/>
  <c r="AX155" i="2"/>
  <c r="AJ58" i="2" s="1"/>
  <c r="J157" i="2"/>
  <c r="AE60" i="2" s="1"/>
  <c r="Z190" i="2"/>
  <c r="AO59" i="2" s="1"/>
  <c r="AH193" i="2"/>
  <c r="AP62" i="2" s="1"/>
  <c r="AX154" i="2"/>
  <c r="AJ57" i="2" s="1"/>
  <c r="AJ63" i="2" s="1"/>
  <c r="AX156" i="2"/>
  <c r="AJ59" i="2" s="1"/>
  <c r="J192" i="2"/>
  <c r="AM61" i="2" s="1"/>
  <c r="AH188" i="2"/>
  <c r="AP57" i="2" s="1"/>
  <c r="J158" i="2"/>
  <c r="AE61" i="2" s="1"/>
  <c r="B188" i="2"/>
  <c r="AK57" i="2" s="1"/>
  <c r="AH124" i="2"/>
  <c r="T61" i="2" s="1"/>
  <c r="AH174" i="2"/>
  <c r="Z87" i="2"/>
  <c r="E57" i="2" s="1"/>
  <c r="J190" i="2"/>
  <c r="AM59" i="2" s="1"/>
  <c r="J188" i="2"/>
  <c r="AM57" i="2" s="1"/>
  <c r="Z156" i="2"/>
  <c r="AG59" i="2" s="1"/>
  <c r="Z155" i="2"/>
  <c r="AG58" i="2" s="1"/>
  <c r="AH157" i="2"/>
  <c r="AH60" i="2" s="1"/>
  <c r="AP90" i="2"/>
  <c r="G60" i="2" s="1"/>
  <c r="Z142" i="2"/>
  <c r="Z62" i="2" s="1"/>
  <c r="B175" i="2"/>
  <c r="AL61" i="2" s="1"/>
  <c r="AH137" i="2"/>
  <c r="AA57" i="2" s="1"/>
  <c r="R158" i="2"/>
  <c r="AF61" i="2" s="1"/>
  <c r="AX142" i="2"/>
  <c r="AC62" i="2" s="1"/>
  <c r="Z140" i="2"/>
  <c r="Z60" i="2" s="1"/>
  <c r="J109" i="2"/>
  <c r="J62" i="2" s="1"/>
  <c r="Z172" i="2"/>
  <c r="AW58" i="2" s="1"/>
  <c r="AP87" i="2"/>
  <c r="G57" i="2" s="1"/>
  <c r="Z141" i="2"/>
  <c r="Z61" i="2" s="1"/>
  <c r="AH123" i="2"/>
  <c r="T60" i="2" s="1"/>
  <c r="B173" i="2"/>
  <c r="AL59" i="2" s="1"/>
  <c r="AH172" i="2"/>
  <c r="AX58" i="2" s="1"/>
  <c r="Z88" i="2"/>
  <c r="E58" i="2" s="1"/>
  <c r="AH141" i="2"/>
  <c r="AA61" i="2" s="1"/>
  <c r="AH159" i="2"/>
  <c r="AH62" i="2" s="1"/>
  <c r="AP89" i="2"/>
  <c r="G59" i="2" s="1"/>
  <c r="AX141" i="2"/>
  <c r="AC61" i="2" s="1"/>
  <c r="Z137" i="2"/>
  <c r="Z57" i="2" s="1"/>
  <c r="AH121" i="2"/>
  <c r="T58" i="2" s="1"/>
  <c r="AH120" i="2"/>
  <c r="T57" i="2" s="1"/>
  <c r="B174" i="2"/>
  <c r="J104" i="2"/>
  <c r="J57" i="2" s="1"/>
  <c r="AH171" i="2"/>
  <c r="Z89" i="2"/>
  <c r="E59" i="2" s="1"/>
  <c r="AH142" i="2"/>
  <c r="AA62" i="2" s="1"/>
  <c r="AH139" i="2"/>
  <c r="AA59" i="2" s="1"/>
  <c r="R139" i="2"/>
  <c r="Y59" i="2" s="1"/>
  <c r="Z108" i="2"/>
  <c r="L61" i="2" s="1"/>
  <c r="AH154" i="2"/>
  <c r="AH57" i="2" s="1"/>
  <c r="AH63" i="2" s="1"/>
  <c r="BN188" i="2"/>
  <c r="AT57" i="2" s="1"/>
  <c r="AP88" i="2"/>
  <c r="G58" i="2" s="1"/>
  <c r="AP91" i="2"/>
  <c r="G61" i="2" s="1"/>
  <c r="Z139" i="2"/>
  <c r="Z59" i="2" s="1"/>
  <c r="B172" i="2"/>
  <c r="AH173" i="2"/>
  <c r="AX59" i="2" s="1"/>
  <c r="AH176" i="2"/>
  <c r="AX62" i="2" s="1"/>
  <c r="Z90" i="2"/>
  <c r="E60" i="2" s="1"/>
  <c r="AX193" i="2"/>
  <c r="AR62" i="2" s="1"/>
  <c r="R156" i="2"/>
  <c r="AF59" i="2" s="1"/>
  <c r="BN190" i="2"/>
  <c r="BK59" i="2" s="1"/>
  <c r="Z193" i="2"/>
  <c r="AO62" i="2" s="1"/>
  <c r="AH190" i="2"/>
  <c r="AP59" i="2" s="1"/>
  <c r="AH192" i="2"/>
  <c r="AP61" i="2" s="1"/>
  <c r="J154" i="2"/>
  <c r="AE57" i="2" s="1"/>
  <c r="AE63" i="2" s="1"/>
  <c r="R175" i="2"/>
  <c r="R125" i="2"/>
  <c r="R62" i="2" s="1"/>
  <c r="Z188" i="2"/>
  <c r="AO57" i="2" s="1"/>
  <c r="BN172" i="2"/>
  <c r="AP192" i="2"/>
  <c r="BH61" i="2" s="1"/>
  <c r="J156" i="2"/>
  <c r="AE59" i="2" s="1"/>
  <c r="B190" i="2"/>
  <c r="AK59" i="2" s="1"/>
  <c r="R172" i="2"/>
  <c r="BN174" i="2"/>
  <c r="BB60" i="2" s="1"/>
  <c r="BN176" i="2"/>
  <c r="AX137" i="2"/>
  <c r="AX140" i="2"/>
  <c r="AC60" i="2" s="1"/>
  <c r="AP140" i="2"/>
  <c r="AB60" i="2" s="1"/>
  <c r="J107" i="2"/>
  <c r="J60" i="2" s="1"/>
  <c r="J105" i="2"/>
  <c r="J58" i="2" s="1"/>
  <c r="BN173" i="2"/>
  <c r="R159" i="2"/>
  <c r="AF62" i="2" s="1"/>
  <c r="Z104" i="2"/>
  <c r="L57" i="2" s="1"/>
  <c r="AH158" i="2"/>
  <c r="AH61" i="2" s="1"/>
  <c r="BN191" i="2"/>
  <c r="BN192" i="2"/>
  <c r="AT61" i="2" s="1"/>
  <c r="AP137" i="2"/>
  <c r="AB57" i="2" s="1"/>
  <c r="AB63" i="2" s="1"/>
  <c r="AP141" i="2"/>
  <c r="AB61" i="2" s="1"/>
  <c r="J108" i="2"/>
  <c r="J61" i="2" s="1"/>
  <c r="R141" i="2"/>
  <c r="Y61" i="2" s="1"/>
  <c r="Z109" i="2"/>
  <c r="L62" i="2" s="1"/>
  <c r="AH156" i="2"/>
  <c r="AH59" i="2" s="1"/>
  <c r="AP138" i="2"/>
  <c r="AB58" i="2" s="1"/>
  <c r="AX188" i="2"/>
  <c r="AR57" i="2" s="1"/>
  <c r="J121" i="2"/>
  <c r="Q58" i="2" s="1"/>
  <c r="B138" i="2"/>
  <c r="W58" i="2" s="1"/>
  <c r="AH89" i="2"/>
  <c r="F59" i="2" s="1"/>
  <c r="AP171" i="2"/>
  <c r="B142" i="2"/>
  <c r="W62" i="2" s="1"/>
  <c r="B124" i="2"/>
  <c r="P61" i="2" s="1"/>
  <c r="R108" i="2"/>
  <c r="K61" i="2" s="1"/>
  <c r="AH88" i="2"/>
  <c r="F58" i="2" s="1"/>
  <c r="R193" i="2"/>
  <c r="BE62" i="2" s="1"/>
  <c r="AP174" i="2"/>
  <c r="R91" i="2"/>
  <c r="D61" i="2" s="1"/>
  <c r="AH91" i="2"/>
  <c r="F61" i="2" s="1"/>
  <c r="AP172" i="2"/>
  <c r="AY58" i="2" s="1"/>
  <c r="R121" i="2"/>
  <c r="R58" i="2" s="1"/>
  <c r="R120" i="2"/>
  <c r="R57" i="2" s="1"/>
  <c r="AP193" i="2"/>
  <c r="AQ62" i="2" s="1"/>
  <c r="J123" i="2"/>
  <c r="Q60" i="2" s="1"/>
  <c r="B193" i="2"/>
  <c r="AK62" i="2" s="1"/>
  <c r="R122" i="2"/>
  <c r="R59" i="2" s="1"/>
  <c r="R124" i="2"/>
  <c r="R61" i="2" s="1"/>
  <c r="Z191" i="2"/>
  <c r="AO60" i="2" s="1"/>
  <c r="R191" i="2"/>
  <c r="BE60" i="2" s="1"/>
  <c r="AP173" i="2"/>
  <c r="AY59" i="2" s="1"/>
  <c r="AP176" i="2"/>
  <c r="AY62" i="2" s="1"/>
  <c r="B140" i="2"/>
  <c r="W60" i="2" s="1"/>
  <c r="AP191" i="2"/>
  <c r="BH60" i="2" s="1"/>
  <c r="AP188" i="2"/>
  <c r="AQ57" i="2" s="1"/>
  <c r="B122" i="2"/>
  <c r="P59" i="2" s="1"/>
  <c r="J124" i="2"/>
  <c r="Q61" i="2" s="1"/>
  <c r="R107" i="2"/>
  <c r="K60" i="2" s="1"/>
  <c r="B189" i="2"/>
  <c r="BC58" i="2" s="1"/>
  <c r="R171" i="2"/>
  <c r="R176" i="2"/>
  <c r="AH90" i="2"/>
  <c r="F60" i="2" s="1"/>
  <c r="AH87" i="2"/>
  <c r="F57" i="2" s="1"/>
  <c r="B139" i="2"/>
  <c r="W59" i="2" s="1"/>
  <c r="J122" i="2"/>
  <c r="Q59" i="2" s="1"/>
  <c r="R106" i="2"/>
  <c r="K59" i="2" s="1"/>
  <c r="B191" i="2"/>
  <c r="AK60" i="2" s="1"/>
  <c r="AX190" i="2"/>
  <c r="AR59" i="2" s="1"/>
  <c r="AX192" i="2"/>
  <c r="AR61" i="2" s="1"/>
  <c r="B89" i="2"/>
  <c r="B59" i="2" s="1"/>
  <c r="BF174" i="2"/>
  <c r="BA60" i="2" s="1"/>
  <c r="R189" i="2"/>
  <c r="AN58" i="2" s="1"/>
  <c r="R188" i="2"/>
  <c r="AN57" i="2" s="1"/>
  <c r="AX189" i="2"/>
  <c r="BI58" i="2" s="1"/>
  <c r="B141" i="2"/>
  <c r="W61" i="2" s="1"/>
  <c r="Z174" i="2"/>
  <c r="AW60" i="2" s="1"/>
  <c r="B91" i="2"/>
  <c r="B61" i="2" s="1"/>
  <c r="R104" i="2"/>
  <c r="K57" i="2" s="1"/>
  <c r="BF175" i="2"/>
  <c r="BA61" i="2" s="1"/>
  <c r="BF172" i="2"/>
  <c r="BA58" i="2" s="1"/>
  <c r="R190" i="2"/>
  <c r="AN59" i="2" s="1"/>
  <c r="Z171" i="2"/>
  <c r="J175" i="2"/>
  <c r="R92" i="2"/>
  <c r="D62" i="2" s="1"/>
  <c r="R105" i="2"/>
  <c r="K58" i="2" s="1"/>
  <c r="BA59" i="2"/>
  <c r="AW59" i="2"/>
  <c r="BH59" i="2"/>
  <c r="AQ59" i="2"/>
  <c r="AX61" i="2"/>
  <c r="BD58" i="2"/>
  <c r="AM58" i="2"/>
  <c r="J174" i="2"/>
  <c r="J172" i="2"/>
  <c r="B88" i="2"/>
  <c r="B58" i="2" s="1"/>
  <c r="AZ61" i="2"/>
  <c r="BF171" i="2"/>
  <c r="BF176" i="2"/>
  <c r="BF61" i="2"/>
  <c r="AO61" i="2"/>
  <c r="BE61" i="2"/>
  <c r="AN61" i="2"/>
  <c r="BI60" i="2"/>
  <c r="AR60" i="2"/>
  <c r="Z175" i="2"/>
  <c r="Z176" i="2"/>
  <c r="BG58" i="2"/>
  <c r="AP58" i="2"/>
  <c r="J173" i="2"/>
  <c r="J176" i="2"/>
  <c r="R157" i="2"/>
  <c r="AF60" i="2" s="1"/>
  <c r="B90" i="2"/>
  <c r="B60" i="2" s="1"/>
  <c r="B87" i="2"/>
  <c r="R137" i="2"/>
  <c r="Y57" i="2" s="1"/>
  <c r="R140" i="2"/>
  <c r="Y60" i="2" s="1"/>
  <c r="Z105" i="2"/>
  <c r="L58" i="2" s="1"/>
  <c r="Z106" i="2"/>
  <c r="L59" i="2" s="1"/>
  <c r="BG62" i="2"/>
  <c r="BK62" i="2"/>
  <c r="AT62" i="2"/>
  <c r="AL62" i="2"/>
  <c r="AY61" i="2"/>
  <c r="R155" i="2"/>
  <c r="AF58" i="2" s="1"/>
  <c r="R138" i="2"/>
  <c r="Y58" i="2" s="1"/>
  <c r="BC61" i="2"/>
  <c r="AK61" i="2"/>
  <c r="AV60" i="2"/>
  <c r="B123" i="2"/>
  <c r="P60" i="2" s="1"/>
  <c r="R90" i="2"/>
  <c r="D60" i="2" s="1"/>
  <c r="B121" i="2"/>
  <c r="P58" i="2" s="1"/>
  <c r="B120" i="2"/>
  <c r="P57" i="2" s="1"/>
  <c r="J125" i="2"/>
  <c r="Q62" i="2" s="1"/>
  <c r="R88" i="2"/>
  <c r="D58" i="2" s="1"/>
  <c r="R87" i="2"/>
  <c r="BF192" i="2"/>
  <c r="BJ61" i="2" s="1"/>
  <c r="BF188" i="2"/>
  <c r="BF190" i="2"/>
  <c r="BJ59" i="2" s="1"/>
  <c r="BF193" i="2"/>
  <c r="BJ62" i="2" s="1"/>
  <c r="BF189" i="2"/>
  <c r="BJ58" i="2" s="1"/>
  <c r="BF191" i="2"/>
  <c r="BJ60" i="2" s="1"/>
  <c r="AX91" i="2"/>
  <c r="H61" i="2" s="1"/>
  <c r="AX87" i="2"/>
  <c r="AX90" i="2"/>
  <c r="H60" i="2" s="1"/>
  <c r="AX89" i="2"/>
  <c r="H59" i="2" s="1"/>
  <c r="AX92" i="2"/>
  <c r="H62" i="2" s="1"/>
  <c r="AX88" i="2"/>
  <c r="H58" i="2" s="1"/>
  <c r="BB57" i="2"/>
  <c r="BB63" i="2" s="1"/>
  <c r="AU57" i="2"/>
  <c r="AU63" i="2" s="1"/>
  <c r="AH106" i="2"/>
  <c r="M59" i="2" s="1"/>
  <c r="AH107" i="2"/>
  <c r="M60" i="2" s="1"/>
  <c r="AH105" i="2"/>
  <c r="M58" i="2" s="1"/>
  <c r="AH108" i="2"/>
  <c r="M61" i="2" s="1"/>
  <c r="AH104" i="2"/>
  <c r="AH109" i="2"/>
  <c r="M62" i="2" s="1"/>
  <c r="Z124" i="2"/>
  <c r="S61" i="2" s="1"/>
  <c r="Z120" i="2"/>
  <c r="Z123" i="2"/>
  <c r="S60" i="2" s="1"/>
  <c r="Z122" i="2"/>
  <c r="S59" i="2" s="1"/>
  <c r="Z121" i="2"/>
  <c r="S58" i="2" s="1"/>
  <c r="Z125" i="2"/>
  <c r="S62" i="2" s="1"/>
  <c r="AP159" i="2"/>
  <c r="AI62" i="2" s="1"/>
  <c r="AP155" i="2"/>
  <c r="AI58" i="2" s="1"/>
  <c r="AP158" i="2"/>
  <c r="AI61" i="2" s="1"/>
  <c r="AP154" i="2"/>
  <c r="AP157" i="2"/>
  <c r="AI60" i="2" s="1"/>
  <c r="AP156" i="2"/>
  <c r="AI59" i="2" s="1"/>
  <c r="AL57" i="2"/>
  <c r="AL63" i="2" s="1"/>
  <c r="AG57" i="2"/>
  <c r="B106" i="2"/>
  <c r="I59" i="2" s="1"/>
  <c r="B107" i="2"/>
  <c r="I60" i="2" s="1"/>
  <c r="B105" i="2"/>
  <c r="I58" i="2" s="1"/>
  <c r="B109" i="2"/>
  <c r="I62" i="2" s="1"/>
  <c r="B108" i="2"/>
  <c r="I61" i="2" s="1"/>
  <c r="B104" i="2"/>
  <c r="J140" i="2"/>
  <c r="X60" i="2" s="1"/>
  <c r="J141" i="2"/>
  <c r="X61" i="2" s="1"/>
  <c r="J139" i="2"/>
  <c r="X59" i="2" s="1"/>
  <c r="J138" i="2"/>
  <c r="X58" i="2" s="1"/>
  <c r="J142" i="2"/>
  <c r="X62" i="2" s="1"/>
  <c r="J137" i="2"/>
  <c r="B159" i="2"/>
  <c r="AD62" i="2" s="1"/>
  <c r="B155" i="2"/>
  <c r="AD58" i="2" s="1"/>
  <c r="B158" i="2"/>
  <c r="AD61" i="2" s="1"/>
  <c r="B154" i="2"/>
  <c r="B157" i="2"/>
  <c r="AD60" i="2" s="1"/>
  <c r="B156" i="2"/>
  <c r="AD59" i="2" s="1"/>
  <c r="W57" i="2"/>
  <c r="O57" i="2"/>
  <c r="AP106" i="2"/>
  <c r="N59" i="2" s="1"/>
  <c r="AP105" i="2"/>
  <c r="N58" i="2" s="1"/>
  <c r="AP109" i="2"/>
  <c r="N62" i="2" s="1"/>
  <c r="AP104" i="2"/>
  <c r="AP107" i="2"/>
  <c r="N60" i="2" s="1"/>
  <c r="AP108" i="2"/>
  <c r="N61" i="2" s="1"/>
  <c r="J91" i="2"/>
  <c r="C61" i="2" s="1"/>
  <c r="J87" i="2"/>
  <c r="J92" i="2"/>
  <c r="C62" i="2" s="1"/>
  <c r="J90" i="2"/>
  <c r="C60" i="2" s="1"/>
  <c r="J88" i="2"/>
  <c r="C58" i="2" s="1"/>
  <c r="J89" i="2"/>
  <c r="C59" i="2" s="1"/>
  <c r="V57" i="2"/>
  <c r="V63" i="2" s="1"/>
  <c r="AX126" i="2"/>
  <c r="AF57" i="2"/>
  <c r="Q57" i="2"/>
  <c r="BK58" i="2" l="1"/>
  <c r="AX177" i="2"/>
  <c r="BI62" i="2"/>
  <c r="AM60" i="2"/>
  <c r="BC62" i="2"/>
  <c r="AU61" i="2"/>
  <c r="AV59" i="2"/>
  <c r="AV61" i="2"/>
  <c r="AV57" i="2"/>
  <c r="AV63" i="2" s="1"/>
  <c r="Z160" i="2"/>
  <c r="BH58" i="2"/>
  <c r="U63" i="2"/>
  <c r="BD61" i="2"/>
  <c r="AV58" i="2"/>
  <c r="AX110" i="2"/>
  <c r="AP60" i="2"/>
  <c r="BD57" i="2"/>
  <c r="BD63" i="2" s="1"/>
  <c r="O63" i="2"/>
  <c r="AA63" i="2"/>
  <c r="AP63" i="2"/>
  <c r="AO58" i="2"/>
  <c r="AO63" i="2" s="1"/>
  <c r="BC57" i="2"/>
  <c r="AX160" i="2"/>
  <c r="AP126" i="2"/>
  <c r="AL60" i="2"/>
  <c r="BF62" i="2"/>
  <c r="BG57" i="2"/>
  <c r="BG63" i="2" s="1"/>
  <c r="AG63" i="2"/>
  <c r="BD59" i="2"/>
  <c r="AL58" i="2"/>
  <c r="BG61" i="2"/>
  <c r="BF59" i="2"/>
  <c r="AM62" i="2"/>
  <c r="B177" i="2"/>
  <c r="BK61" i="2"/>
  <c r="AQ61" i="2"/>
  <c r="J194" i="2"/>
  <c r="BF57" i="2"/>
  <c r="BF63" i="2" s="1"/>
  <c r="BC59" i="2"/>
  <c r="E63" i="2"/>
  <c r="AX60" i="2"/>
  <c r="AT59" i="2"/>
  <c r="AT63" i="2" s="1"/>
  <c r="BB58" i="2"/>
  <c r="BB59" i="2"/>
  <c r="AH194" i="2"/>
  <c r="AX57" i="2"/>
  <c r="AX63" i="2" s="1"/>
  <c r="Z143" i="2"/>
  <c r="BG59" i="2"/>
  <c r="AH160" i="2"/>
  <c r="AY57" i="2"/>
  <c r="AY63" i="2" s="1"/>
  <c r="AH126" i="2"/>
  <c r="Z63" i="2"/>
  <c r="BI57" i="2"/>
  <c r="AP93" i="2"/>
  <c r="AH177" i="2"/>
  <c r="BN194" i="2"/>
  <c r="J160" i="2"/>
  <c r="T63" i="2"/>
  <c r="Z93" i="2"/>
  <c r="AH143" i="2"/>
  <c r="BE58" i="2"/>
  <c r="G63" i="2"/>
  <c r="BK57" i="2"/>
  <c r="BK63" i="2" s="1"/>
  <c r="BI59" i="2"/>
  <c r="BB62" i="2"/>
  <c r="AN62" i="2"/>
  <c r="AM63" i="2"/>
  <c r="Q63" i="2"/>
  <c r="BF60" i="2"/>
  <c r="AX143" i="2"/>
  <c r="AV62" i="2"/>
  <c r="BN177" i="2"/>
  <c r="AT60" i="2"/>
  <c r="J110" i="2"/>
  <c r="AC57" i="2"/>
  <c r="AC63" i="2" s="1"/>
  <c r="BK60" i="2"/>
  <c r="AK58" i="2"/>
  <c r="AK63" i="2" s="1"/>
  <c r="J63" i="2"/>
  <c r="AP143" i="2"/>
  <c r="J126" i="2"/>
  <c r="AN60" i="2"/>
  <c r="AY60" i="2"/>
  <c r="AX194" i="2"/>
  <c r="R194" i="2"/>
  <c r="R126" i="2"/>
  <c r="AQ60" i="2"/>
  <c r="B143" i="2"/>
  <c r="BE59" i="2"/>
  <c r="K63" i="2"/>
  <c r="F63" i="2"/>
  <c r="R63" i="2"/>
  <c r="AH93" i="2"/>
  <c r="BH62" i="2"/>
  <c r="AR58" i="2"/>
  <c r="AW57" i="2"/>
  <c r="AW63" i="2" s="1"/>
  <c r="AP194" i="2"/>
  <c r="BC60" i="2"/>
  <c r="AP177" i="2"/>
  <c r="AN63" i="2"/>
  <c r="BF177" i="2"/>
  <c r="B93" i="2"/>
  <c r="AR63" i="2"/>
  <c r="B194" i="2"/>
  <c r="B126" i="2"/>
  <c r="Z177" i="2"/>
  <c r="R177" i="2"/>
  <c r="B57" i="2"/>
  <c r="B63" i="2" s="1"/>
  <c r="Z194" i="2"/>
  <c r="R93" i="2"/>
  <c r="AQ63" i="2"/>
  <c r="R110" i="2"/>
  <c r="W63" i="2"/>
  <c r="BH57" i="2"/>
  <c r="BE57" i="2"/>
  <c r="BI61" i="2"/>
  <c r="P63" i="2"/>
  <c r="AU59" i="2"/>
  <c r="L63" i="2"/>
  <c r="R143" i="2"/>
  <c r="AW62" i="2"/>
  <c r="AU58" i="2"/>
  <c r="AF63" i="2"/>
  <c r="Z110" i="2"/>
  <c r="Y63" i="2"/>
  <c r="J177" i="2"/>
  <c r="AW61" i="2"/>
  <c r="AU60" i="2"/>
  <c r="D57" i="2"/>
  <c r="D63" i="2" s="1"/>
  <c r="R160" i="2"/>
  <c r="BA57" i="2"/>
  <c r="AU62" i="2"/>
  <c r="BA62" i="2"/>
  <c r="B110" i="2"/>
  <c r="I57" i="2"/>
  <c r="I63" i="2" s="1"/>
  <c r="AX93" i="2"/>
  <c r="H57" i="2"/>
  <c r="H63" i="2" s="1"/>
  <c r="AH110" i="2"/>
  <c r="M57" i="2"/>
  <c r="M63" i="2" s="1"/>
  <c r="J93" i="2"/>
  <c r="C57" i="2"/>
  <c r="C63" i="2" s="1"/>
  <c r="AP110" i="2"/>
  <c r="N57" i="2"/>
  <c r="N63" i="2" s="1"/>
  <c r="B160" i="2"/>
  <c r="AD57" i="2"/>
  <c r="AD63" i="2" s="1"/>
  <c r="J143" i="2"/>
  <c r="X57" i="2"/>
  <c r="X63" i="2" s="1"/>
  <c r="AI57" i="2"/>
  <c r="AI63" i="2" s="1"/>
  <c r="AP160" i="2"/>
  <c r="Z126" i="2"/>
  <c r="S57" i="2"/>
  <c r="S63" i="2" s="1"/>
  <c r="BF194" i="2"/>
  <c r="BJ57" i="2"/>
  <c r="BJ63" i="2" s="1"/>
  <c r="S22" i="2" l="1"/>
  <c r="S26" i="2"/>
  <c r="N27" i="2" s="1"/>
  <c r="R24" i="2"/>
  <c r="S23" i="2"/>
  <c r="N24" i="2" s="1"/>
  <c r="S21" i="2"/>
  <c r="R25" i="2"/>
  <c r="S24" i="2"/>
  <c r="R22" i="2"/>
  <c r="R26" i="2"/>
  <c r="S25" i="2"/>
  <c r="N26" i="2" s="1"/>
  <c r="R23" i="2"/>
  <c r="R21" i="2"/>
  <c r="BH63" i="2"/>
  <c r="BC63" i="2"/>
  <c r="BI63" i="2"/>
  <c r="BE63" i="2"/>
  <c r="BA63" i="2"/>
  <c r="N23" i="2"/>
  <c r="N25" i="2"/>
  <c r="M22" i="2" l="1"/>
  <c r="S32" i="2"/>
  <c r="M23" i="2"/>
  <c r="S35" i="2"/>
  <c r="S33" i="2"/>
  <c r="S36" i="2"/>
  <c r="S34" i="2"/>
  <c r="M26" i="2"/>
  <c r="N22" i="2"/>
  <c r="S27" i="2"/>
  <c r="M25" i="2"/>
  <c r="M24" i="2"/>
  <c r="M27" i="2"/>
  <c r="S28" i="2" l="1"/>
  <c r="N31" i="2" s="1"/>
  <c r="V28" i="2"/>
  <c r="W331" i="2" s="1"/>
  <c r="U35" i="2" l="1"/>
  <c r="Y331" i="2"/>
  <c r="T36" i="2"/>
  <c r="T34" i="2"/>
  <c r="T32" i="2"/>
  <c r="U36" i="2"/>
  <c r="U34" i="2"/>
  <c r="T33" i="2"/>
  <c r="T35" i="2"/>
  <c r="U32" i="2"/>
  <c r="U33" i="2"/>
  <c r="S30" i="2" l="1"/>
  <c r="N33" i="2" s="1"/>
  <c r="Z331" i="2"/>
  <c r="AB331" i="2"/>
  <c r="AD331" i="2" s="1"/>
  <c r="S29" i="2"/>
  <c r="N32" i="2" s="1"/>
  <c r="AA331" i="2"/>
  <c r="AC331" i="2" l="1"/>
  <c r="F146" i="1" l="1"/>
  <c r="F129" i="1"/>
  <c r="F112" i="1"/>
  <c r="F96" i="1"/>
  <c r="F79" i="1"/>
  <c r="R36" i="1" l="1"/>
  <c r="R35" i="1"/>
  <c r="R34" i="1"/>
  <c r="R33" i="1"/>
  <c r="R32" i="1"/>
  <c r="D163" i="1" l="1"/>
  <c r="E163" i="1"/>
  <c r="F163" i="1"/>
  <c r="G163" i="1"/>
  <c r="H163" i="1"/>
  <c r="L163" i="1"/>
  <c r="M163" i="1"/>
  <c r="N163" i="1"/>
  <c r="O163" i="1"/>
  <c r="P163" i="1"/>
  <c r="T163" i="1"/>
  <c r="U163" i="1"/>
  <c r="V163" i="1"/>
  <c r="W163" i="1"/>
  <c r="X163" i="1"/>
  <c r="AB163" i="1"/>
  <c r="AC163" i="1"/>
  <c r="AD163" i="1"/>
  <c r="AE163" i="1"/>
  <c r="AF163" i="1"/>
  <c r="AJ163" i="1"/>
  <c r="AK163" i="1"/>
  <c r="AL163" i="1"/>
  <c r="AM163" i="1"/>
  <c r="AN163" i="1"/>
  <c r="AR163" i="1"/>
  <c r="AS163" i="1"/>
  <c r="AT163" i="1"/>
  <c r="AU163" i="1"/>
  <c r="AV163" i="1"/>
  <c r="AZ163" i="1"/>
  <c r="BA163" i="1"/>
  <c r="BB163" i="1"/>
  <c r="BC163" i="1"/>
  <c r="BD163" i="1"/>
  <c r="BH163" i="1"/>
  <c r="BI163" i="1"/>
  <c r="BJ163" i="1"/>
  <c r="BK163" i="1"/>
  <c r="BL163" i="1"/>
  <c r="BP163" i="1"/>
  <c r="BQ163" i="1"/>
  <c r="BR163" i="1"/>
  <c r="BS163" i="1"/>
  <c r="BT163" i="1"/>
  <c r="C170" i="1"/>
  <c r="K170" i="1"/>
  <c r="S170" i="1"/>
  <c r="AA170" i="1"/>
  <c r="AI170" i="1"/>
  <c r="AQ170" i="1"/>
  <c r="AY170" i="1"/>
  <c r="BG170" i="1"/>
  <c r="BO170" i="1"/>
  <c r="D180" i="1"/>
  <c r="E180" i="1"/>
  <c r="F180" i="1"/>
  <c r="G180" i="1"/>
  <c r="H180" i="1"/>
  <c r="L180" i="1"/>
  <c r="M180" i="1"/>
  <c r="N180" i="1"/>
  <c r="O180" i="1"/>
  <c r="P180" i="1"/>
  <c r="T180" i="1"/>
  <c r="U180" i="1"/>
  <c r="V180" i="1"/>
  <c r="W180" i="1"/>
  <c r="X180" i="1"/>
  <c r="AB180" i="1"/>
  <c r="AC180" i="1"/>
  <c r="AD180" i="1"/>
  <c r="AE180" i="1"/>
  <c r="AF180" i="1"/>
  <c r="AJ180" i="1"/>
  <c r="AK180" i="1"/>
  <c r="AL180" i="1"/>
  <c r="AM180" i="1"/>
  <c r="AN180" i="1"/>
  <c r="AR180" i="1"/>
  <c r="AS180" i="1"/>
  <c r="AT180" i="1"/>
  <c r="AU180" i="1"/>
  <c r="AV180" i="1"/>
  <c r="AZ180" i="1"/>
  <c r="AP65" i="1" s="1"/>
  <c r="BA180" i="1"/>
  <c r="AP66" i="1" s="1"/>
  <c r="BB180" i="1"/>
  <c r="AP67" i="1" s="1"/>
  <c r="BC180" i="1"/>
  <c r="BD180" i="1"/>
  <c r="AP69" i="1" s="1"/>
  <c r="BH180" i="1"/>
  <c r="AQ52" i="1" s="1"/>
  <c r="BI180" i="1"/>
  <c r="BJ180" i="1"/>
  <c r="AQ67" i="1" s="1"/>
  <c r="BK180" i="1"/>
  <c r="AQ55" i="1" s="1"/>
  <c r="BL180" i="1"/>
  <c r="BP180" i="1"/>
  <c r="AR52" i="1" s="1"/>
  <c r="BQ180" i="1"/>
  <c r="AR66" i="1" s="1"/>
  <c r="BR180" i="1"/>
  <c r="AR54" i="1" s="1"/>
  <c r="BS180" i="1"/>
  <c r="AR55" i="1" s="1"/>
  <c r="BT180" i="1"/>
  <c r="C187" i="1"/>
  <c r="K187" i="1"/>
  <c r="S187" i="1"/>
  <c r="AA187" i="1"/>
  <c r="AI187" i="1"/>
  <c r="AQ187" i="1"/>
  <c r="AY187" i="1"/>
  <c r="BG187" i="1"/>
  <c r="BO187" i="1"/>
  <c r="AR69" i="1"/>
  <c r="AR68" i="1"/>
  <c r="AQ69" i="1"/>
  <c r="AQ65" i="1"/>
  <c r="AQ68" i="1"/>
  <c r="AW64" i="1"/>
  <c r="AV64" i="1"/>
  <c r="AU64" i="1"/>
  <c r="AT64" i="1"/>
  <c r="AS64" i="1"/>
  <c r="AR64" i="1"/>
  <c r="AQ64" i="1"/>
  <c r="AP64" i="1"/>
  <c r="AO64" i="1"/>
  <c r="AN64" i="1"/>
  <c r="AM64" i="1"/>
  <c r="AL64" i="1"/>
  <c r="AK64" i="1"/>
  <c r="AJ64" i="1"/>
  <c r="AI64" i="1"/>
  <c r="AH64" i="1"/>
  <c r="AG64" i="1"/>
  <c r="AF64" i="1"/>
  <c r="AE64" i="1"/>
  <c r="AD64" i="1"/>
  <c r="AC64" i="1"/>
  <c r="AB64" i="1"/>
  <c r="AA64" i="1"/>
  <c r="Z64" i="1"/>
  <c r="Y64" i="1"/>
  <c r="X64" i="1"/>
  <c r="W64" i="1"/>
  <c r="V64" i="1"/>
  <c r="U64" i="1"/>
  <c r="T64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AP53" i="1"/>
  <c r="AW51" i="1"/>
  <c r="AV51" i="1"/>
  <c r="AU51" i="1"/>
  <c r="AT51" i="1"/>
  <c r="AS51" i="1"/>
  <c r="AR51" i="1"/>
  <c r="AQ51" i="1"/>
  <c r="AP51" i="1"/>
  <c r="AO51" i="1"/>
  <c r="AN51" i="1"/>
  <c r="AM51" i="1"/>
  <c r="AL51" i="1"/>
  <c r="AK51" i="1"/>
  <c r="AJ51" i="1"/>
  <c r="AI51" i="1"/>
  <c r="AH51" i="1"/>
  <c r="AG51" i="1"/>
  <c r="AF51" i="1"/>
  <c r="AE51" i="1"/>
  <c r="AD51" i="1"/>
  <c r="AC51" i="1"/>
  <c r="AB51" i="1"/>
  <c r="AA51" i="1"/>
  <c r="Z51" i="1"/>
  <c r="Y51" i="1"/>
  <c r="X51" i="1"/>
  <c r="W51" i="1"/>
  <c r="V51" i="1"/>
  <c r="U51" i="1"/>
  <c r="T51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M33" i="1"/>
  <c r="M32" i="1"/>
  <c r="M31" i="1"/>
  <c r="AP56" i="1" l="1"/>
  <c r="AR65" i="1"/>
  <c r="AR53" i="1"/>
  <c r="AR67" i="1"/>
  <c r="AP52" i="1"/>
  <c r="AP54" i="1"/>
  <c r="AP68" i="1"/>
  <c r="AP55" i="1"/>
  <c r="AR56" i="1"/>
  <c r="AQ66" i="1"/>
  <c r="AQ53" i="1"/>
  <c r="AQ56" i="1"/>
  <c r="AQ54" i="1"/>
  <c r="F18" i="1"/>
  <c r="V15" i="1" s="1"/>
  <c r="U314" i="1"/>
  <c r="X314" i="1" s="1"/>
  <c r="U313" i="1"/>
  <c r="X313" i="1" s="1"/>
  <c r="U312" i="1"/>
  <c r="X312" i="1" s="1"/>
  <c r="U311" i="1"/>
  <c r="X311" i="1" s="1"/>
  <c r="U310" i="1"/>
  <c r="U309" i="1"/>
  <c r="X309" i="1" s="1"/>
  <c r="U308" i="1"/>
  <c r="X308" i="1" s="1"/>
  <c r="U307" i="1"/>
  <c r="X307" i="1" s="1"/>
  <c r="U306" i="1"/>
  <c r="X306" i="1" s="1"/>
  <c r="U305" i="1"/>
  <c r="X305" i="1" s="1"/>
  <c r="U304" i="1"/>
  <c r="U303" i="1"/>
  <c r="X303" i="1" s="1"/>
  <c r="U302" i="1"/>
  <c r="X297" i="1"/>
  <c r="W297" i="1"/>
  <c r="V297" i="1"/>
  <c r="X296" i="1"/>
  <c r="W296" i="1"/>
  <c r="V296" i="1"/>
  <c r="U295" i="1"/>
  <c r="T295" i="1"/>
  <c r="X294" i="1"/>
  <c r="W294" i="1"/>
  <c r="V294" i="1"/>
  <c r="T294" i="1"/>
  <c r="X293" i="1"/>
  <c r="W293" i="1"/>
  <c r="V293" i="1"/>
  <c r="X292" i="1"/>
  <c r="X295" i="1" s="1"/>
  <c r="W292" i="1"/>
  <c r="V292" i="1"/>
  <c r="V295" i="1" s="1"/>
  <c r="X291" i="1"/>
  <c r="W291" i="1"/>
  <c r="V291" i="1"/>
  <c r="X290" i="1"/>
  <c r="W290" i="1"/>
  <c r="V290" i="1"/>
  <c r="X289" i="1"/>
  <c r="W289" i="1"/>
  <c r="V289" i="1"/>
  <c r="X288" i="1"/>
  <c r="W288" i="1"/>
  <c r="V288" i="1"/>
  <c r="Y287" i="1"/>
  <c r="X286" i="1"/>
  <c r="W286" i="1"/>
  <c r="V286" i="1"/>
  <c r="Y285" i="1"/>
  <c r="AA285" i="1" s="1"/>
  <c r="X284" i="1"/>
  <c r="W284" i="1"/>
  <c r="V284" i="1"/>
  <c r="R284" i="1"/>
  <c r="W283" i="1"/>
  <c r="V283" i="1"/>
  <c r="X282" i="1"/>
  <c r="W282" i="1"/>
  <c r="V282" i="1"/>
  <c r="X280" i="1"/>
  <c r="W280" i="1"/>
  <c r="V280" i="1"/>
  <c r="W277" i="1"/>
  <c r="V277" i="1"/>
  <c r="X276" i="1"/>
  <c r="X278" i="1" s="1"/>
  <c r="W276" i="1"/>
  <c r="W278" i="1" s="1"/>
  <c r="W281" i="1" s="1"/>
  <c r="V276" i="1"/>
  <c r="X275" i="1"/>
  <c r="W275" i="1"/>
  <c r="V275" i="1"/>
  <c r="T275" i="1"/>
  <c r="X273" i="1"/>
  <c r="W273" i="1"/>
  <c r="V273" i="1"/>
  <c r="Y273" i="1" s="1"/>
  <c r="T273" i="1"/>
  <c r="Y272" i="1"/>
  <c r="Y271" i="1"/>
  <c r="AA271" i="1" s="1"/>
  <c r="Y270" i="1"/>
  <c r="AB270" i="1" s="1"/>
  <c r="AD270" i="1" s="1"/>
  <c r="J224" i="1"/>
  <c r="B224" i="1"/>
  <c r="B223" i="1"/>
  <c r="B222" i="1"/>
  <c r="J221" i="1"/>
  <c r="B221" i="1"/>
  <c r="B220" i="1"/>
  <c r="J219" i="1"/>
  <c r="B219" i="1"/>
  <c r="U218" i="1"/>
  <c r="T218" i="1"/>
  <c r="S218" i="1"/>
  <c r="R218" i="1"/>
  <c r="Q218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C218" i="1"/>
  <c r="U217" i="1"/>
  <c r="T217" i="1"/>
  <c r="S217" i="1"/>
  <c r="R217" i="1"/>
  <c r="Q217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C217" i="1"/>
  <c r="B216" i="1"/>
  <c r="B215" i="1"/>
  <c r="B214" i="1"/>
  <c r="B213" i="1"/>
  <c r="B212" i="1"/>
  <c r="K225" i="1" s="1"/>
  <c r="B211" i="1"/>
  <c r="B208" i="1"/>
  <c r="AQ207" i="1"/>
  <c r="B207" i="1"/>
  <c r="B206" i="1"/>
  <c r="B205" i="1"/>
  <c r="B204" i="1"/>
  <c r="B203" i="1"/>
  <c r="AV200" i="1"/>
  <c r="AU200" i="1"/>
  <c r="AT200" i="1"/>
  <c r="AS200" i="1"/>
  <c r="AR200" i="1"/>
  <c r="AO53" i="1"/>
  <c r="AW56" i="1"/>
  <c r="AW55" i="1"/>
  <c r="AW54" i="1"/>
  <c r="AW53" i="1"/>
  <c r="AW52" i="1"/>
  <c r="AV56" i="1"/>
  <c r="AV55" i="1"/>
  <c r="AV54" i="1"/>
  <c r="AV53" i="1"/>
  <c r="AV52" i="1"/>
  <c r="AU56" i="1"/>
  <c r="AU55" i="1"/>
  <c r="AU54" i="1"/>
  <c r="AU53" i="1"/>
  <c r="AU52" i="1"/>
  <c r="AQ153" i="1"/>
  <c r="AI153" i="1"/>
  <c r="AA153" i="1"/>
  <c r="S153" i="1"/>
  <c r="K153" i="1"/>
  <c r="C153" i="1"/>
  <c r="AV146" i="1"/>
  <c r="AU146" i="1"/>
  <c r="AT146" i="1"/>
  <c r="AS146" i="1"/>
  <c r="AR146" i="1"/>
  <c r="AN146" i="1"/>
  <c r="AM146" i="1"/>
  <c r="AL146" i="1"/>
  <c r="AK146" i="1"/>
  <c r="AJ146" i="1"/>
  <c r="AF146" i="1"/>
  <c r="AE146" i="1"/>
  <c r="AD146" i="1"/>
  <c r="AC146" i="1"/>
  <c r="AB146" i="1"/>
  <c r="X146" i="1"/>
  <c r="W146" i="1"/>
  <c r="V146" i="1"/>
  <c r="U146" i="1"/>
  <c r="T146" i="1"/>
  <c r="P146" i="1"/>
  <c r="O146" i="1"/>
  <c r="N146" i="1"/>
  <c r="M146" i="1"/>
  <c r="L146" i="1"/>
  <c r="H146" i="1"/>
  <c r="G146" i="1"/>
  <c r="E146" i="1"/>
  <c r="D146" i="1"/>
  <c r="AQ136" i="1"/>
  <c r="AI136" i="1"/>
  <c r="AA136" i="1"/>
  <c r="S136" i="1"/>
  <c r="K136" i="1"/>
  <c r="C136" i="1"/>
  <c r="AV129" i="1"/>
  <c r="AU129" i="1"/>
  <c r="AT129" i="1"/>
  <c r="AS129" i="1"/>
  <c r="AR129" i="1"/>
  <c r="AN129" i="1"/>
  <c r="AM129" i="1"/>
  <c r="AL129" i="1"/>
  <c r="AK129" i="1"/>
  <c r="AJ129" i="1"/>
  <c r="AF129" i="1"/>
  <c r="AE129" i="1"/>
  <c r="AD129" i="1"/>
  <c r="AC129" i="1"/>
  <c r="AB129" i="1"/>
  <c r="X129" i="1"/>
  <c r="W129" i="1"/>
  <c r="V129" i="1"/>
  <c r="U129" i="1"/>
  <c r="T129" i="1"/>
  <c r="P129" i="1"/>
  <c r="O129" i="1"/>
  <c r="N129" i="1"/>
  <c r="M129" i="1"/>
  <c r="L129" i="1"/>
  <c r="H129" i="1"/>
  <c r="G129" i="1"/>
  <c r="E129" i="1"/>
  <c r="D129" i="1"/>
  <c r="AQ119" i="1"/>
  <c r="AI119" i="1"/>
  <c r="AA119" i="1"/>
  <c r="S119" i="1"/>
  <c r="K119" i="1"/>
  <c r="C119" i="1"/>
  <c r="AV112" i="1"/>
  <c r="AU112" i="1"/>
  <c r="AT112" i="1"/>
  <c r="AS112" i="1"/>
  <c r="AR112" i="1"/>
  <c r="AN112" i="1"/>
  <c r="AM112" i="1"/>
  <c r="AL112" i="1"/>
  <c r="AK112" i="1"/>
  <c r="AJ112" i="1"/>
  <c r="AF112" i="1"/>
  <c r="AE112" i="1"/>
  <c r="AD112" i="1"/>
  <c r="AC112" i="1"/>
  <c r="AB112" i="1"/>
  <c r="X112" i="1"/>
  <c r="W112" i="1"/>
  <c r="V112" i="1"/>
  <c r="U112" i="1"/>
  <c r="T112" i="1"/>
  <c r="P112" i="1"/>
  <c r="O112" i="1"/>
  <c r="N112" i="1"/>
  <c r="M112" i="1"/>
  <c r="L112" i="1"/>
  <c r="H112" i="1"/>
  <c r="G112" i="1"/>
  <c r="E112" i="1"/>
  <c r="D112" i="1"/>
  <c r="AQ103" i="1"/>
  <c r="AI103" i="1"/>
  <c r="AA103" i="1"/>
  <c r="S103" i="1"/>
  <c r="K103" i="1"/>
  <c r="C103" i="1"/>
  <c r="AV96" i="1"/>
  <c r="AU96" i="1"/>
  <c r="AT96" i="1"/>
  <c r="AS96" i="1"/>
  <c r="AR96" i="1"/>
  <c r="AN96" i="1"/>
  <c r="AM96" i="1"/>
  <c r="AL96" i="1"/>
  <c r="AK96" i="1"/>
  <c r="AJ96" i="1"/>
  <c r="AF96" i="1"/>
  <c r="AE96" i="1"/>
  <c r="AD96" i="1"/>
  <c r="AC96" i="1"/>
  <c r="AB96" i="1"/>
  <c r="X96" i="1"/>
  <c r="W96" i="1"/>
  <c r="V96" i="1"/>
  <c r="U96" i="1"/>
  <c r="T96" i="1"/>
  <c r="P96" i="1"/>
  <c r="O96" i="1"/>
  <c r="N96" i="1"/>
  <c r="M96" i="1"/>
  <c r="L96" i="1"/>
  <c r="H96" i="1"/>
  <c r="G96" i="1"/>
  <c r="E96" i="1"/>
  <c r="D96" i="1"/>
  <c r="AQ86" i="1"/>
  <c r="AI86" i="1"/>
  <c r="AA86" i="1"/>
  <c r="S86" i="1"/>
  <c r="K86" i="1"/>
  <c r="C86" i="1"/>
  <c r="AV79" i="1"/>
  <c r="AU79" i="1"/>
  <c r="AT79" i="1"/>
  <c r="AS79" i="1"/>
  <c r="AR79" i="1"/>
  <c r="AN79" i="1"/>
  <c r="AM79" i="1"/>
  <c r="AL79" i="1"/>
  <c r="AK79" i="1"/>
  <c r="AJ79" i="1"/>
  <c r="AF79" i="1"/>
  <c r="AE79" i="1"/>
  <c r="AD79" i="1"/>
  <c r="AC79" i="1"/>
  <c r="AB79" i="1"/>
  <c r="X79" i="1"/>
  <c r="W79" i="1"/>
  <c r="V79" i="1"/>
  <c r="U79" i="1"/>
  <c r="T79" i="1"/>
  <c r="P79" i="1"/>
  <c r="O79" i="1"/>
  <c r="N79" i="1"/>
  <c r="M79" i="1"/>
  <c r="L79" i="1"/>
  <c r="H79" i="1"/>
  <c r="G79" i="1"/>
  <c r="E79" i="1"/>
  <c r="D79" i="1"/>
  <c r="Y28" i="1"/>
  <c r="Y27" i="1"/>
  <c r="U26" i="1"/>
  <c r="U25" i="1"/>
  <c r="N21" i="1"/>
  <c r="M20" i="1"/>
  <c r="I1" i="1"/>
  <c r="X10" i="1"/>
  <c r="H13" i="1"/>
  <c r="H12" i="1" s="1"/>
  <c r="I13" i="1"/>
  <c r="I12" i="1" s="1"/>
  <c r="J13" i="1"/>
  <c r="J12" i="1" s="1"/>
  <c r="J1" i="1"/>
  <c r="H1" i="1"/>
  <c r="G1" i="1"/>
  <c r="F1" i="1"/>
  <c r="W305" i="1" l="1"/>
  <c r="V307" i="1"/>
  <c r="Z285" i="1"/>
  <c r="W307" i="1"/>
  <c r="Y296" i="1"/>
  <c r="AB296" i="1" s="1"/>
  <c r="AD296" i="1" s="1"/>
  <c r="AA270" i="1"/>
  <c r="AB285" i="1"/>
  <c r="AD285" i="1" s="1"/>
  <c r="AC285" i="1" s="1"/>
  <c r="Y291" i="1"/>
  <c r="AB291" i="1" s="1"/>
  <c r="AD291" i="1" s="1"/>
  <c r="W303" i="1"/>
  <c r="V313" i="1"/>
  <c r="F225" i="1"/>
  <c r="F205" i="1" s="1"/>
  <c r="K219" i="1"/>
  <c r="K203" i="1" s="1"/>
  <c r="Y294" i="1"/>
  <c r="AB294" i="1" s="1"/>
  <c r="AD294" i="1" s="1"/>
  <c r="K221" i="1"/>
  <c r="K205" i="1" s="1"/>
  <c r="AA273" i="1"/>
  <c r="Y275" i="1"/>
  <c r="Z275" i="1" s="1"/>
  <c r="Y286" i="1"/>
  <c r="Z286" i="1" s="1"/>
  <c r="W309" i="1"/>
  <c r="W311" i="1"/>
  <c r="Z270" i="1"/>
  <c r="AC270" i="1" s="1"/>
  <c r="Y293" i="1"/>
  <c r="AB293" i="1" s="1"/>
  <c r="AD293" i="1" s="1"/>
  <c r="V303" i="1"/>
  <c r="Y303" i="1" s="1"/>
  <c r="Z303" i="1" s="1"/>
  <c r="V305" i="1"/>
  <c r="W313" i="1"/>
  <c r="O225" i="1"/>
  <c r="O203" i="1" s="1"/>
  <c r="N225" i="1"/>
  <c r="N205" i="1" s="1"/>
  <c r="Y276" i="1"/>
  <c r="V278" i="1"/>
  <c r="V281" i="1" s="1"/>
  <c r="Y289" i="1"/>
  <c r="AB289" i="1" s="1"/>
  <c r="AD289" i="1" s="1"/>
  <c r="Z296" i="1"/>
  <c r="AC296" i="1" s="1"/>
  <c r="V309" i="1"/>
  <c r="V311" i="1"/>
  <c r="Y311" i="1" s="1"/>
  <c r="Z311" i="1" s="1"/>
  <c r="C65" i="1"/>
  <c r="C52" i="1"/>
  <c r="D68" i="1"/>
  <c r="D55" i="1"/>
  <c r="F66" i="1"/>
  <c r="F53" i="1"/>
  <c r="G65" i="1"/>
  <c r="G52" i="1"/>
  <c r="G69" i="1"/>
  <c r="G56" i="1"/>
  <c r="H65" i="1"/>
  <c r="H52" i="1"/>
  <c r="H69" i="1"/>
  <c r="H56" i="1"/>
  <c r="I68" i="1"/>
  <c r="I55" i="1"/>
  <c r="J67" i="1"/>
  <c r="J54" i="1"/>
  <c r="K66" i="1"/>
  <c r="K53" i="1"/>
  <c r="L65" i="1"/>
  <c r="L52" i="1"/>
  <c r="L69" i="1"/>
  <c r="L56" i="1"/>
  <c r="M68" i="1"/>
  <c r="M55" i="1"/>
  <c r="N68" i="1"/>
  <c r="N55" i="1"/>
  <c r="O67" i="1"/>
  <c r="O54" i="1"/>
  <c r="P66" i="1"/>
  <c r="P53" i="1"/>
  <c r="Q65" i="1"/>
  <c r="Q52" i="1"/>
  <c r="Q69" i="1"/>
  <c r="Q56" i="1"/>
  <c r="R68" i="1"/>
  <c r="R55" i="1"/>
  <c r="S67" i="1"/>
  <c r="S54" i="1"/>
  <c r="T67" i="1"/>
  <c r="T54" i="1"/>
  <c r="U66" i="1"/>
  <c r="U53" i="1"/>
  <c r="V65" i="1"/>
  <c r="V52" i="1"/>
  <c r="V69" i="1"/>
  <c r="V56" i="1"/>
  <c r="W68" i="1"/>
  <c r="W55" i="1"/>
  <c r="X67" i="1"/>
  <c r="X54" i="1"/>
  <c r="Y66" i="1"/>
  <c r="Y53" i="1"/>
  <c r="Z67" i="1"/>
  <c r="Z54" i="1"/>
  <c r="AA66" i="1"/>
  <c r="AA53" i="1"/>
  <c r="AB65" i="1"/>
  <c r="AB52" i="1"/>
  <c r="AB69" i="1"/>
  <c r="AB56" i="1"/>
  <c r="AC68" i="1"/>
  <c r="AC55" i="1"/>
  <c r="AD67" i="1"/>
  <c r="AD54" i="1"/>
  <c r="AE66" i="1"/>
  <c r="AE53" i="1"/>
  <c r="AG65" i="1"/>
  <c r="AG52" i="1"/>
  <c r="AG69" i="1"/>
  <c r="AG56" i="1"/>
  <c r="AI68" i="1"/>
  <c r="AI55" i="1"/>
  <c r="AK67" i="1"/>
  <c r="AK54" i="1"/>
  <c r="AM66" i="1"/>
  <c r="AM53" i="1"/>
  <c r="AS65" i="1"/>
  <c r="AS52" i="1"/>
  <c r="AS69" i="1"/>
  <c r="AS56" i="1"/>
  <c r="AW68" i="1"/>
  <c r="AU68" i="1"/>
  <c r="AT68" i="1"/>
  <c r="AV68" i="1"/>
  <c r="AT55" i="1"/>
  <c r="AF66" i="1"/>
  <c r="AF53" i="1"/>
  <c r="AH65" i="1"/>
  <c r="AH52" i="1"/>
  <c r="AH69" i="1"/>
  <c r="AH56" i="1"/>
  <c r="AJ68" i="1"/>
  <c r="AJ55" i="1"/>
  <c r="AL67" i="1"/>
  <c r="AL54" i="1"/>
  <c r="AN66" i="1"/>
  <c r="AN53" i="1"/>
  <c r="AO65" i="1"/>
  <c r="AO52" i="1"/>
  <c r="AO69" i="1"/>
  <c r="AO56" i="1"/>
  <c r="K224" i="1"/>
  <c r="K208" i="1" s="1"/>
  <c r="B67" i="1"/>
  <c r="B54" i="1"/>
  <c r="C66" i="1"/>
  <c r="C53" i="1"/>
  <c r="D65" i="1"/>
  <c r="D52" i="1"/>
  <c r="D69" i="1"/>
  <c r="D56" i="1"/>
  <c r="E68" i="1"/>
  <c r="E55" i="1"/>
  <c r="F67" i="1"/>
  <c r="F54" i="1"/>
  <c r="G53" i="1"/>
  <c r="G66" i="1"/>
  <c r="H66" i="1"/>
  <c r="H53" i="1"/>
  <c r="I65" i="1"/>
  <c r="I52" i="1"/>
  <c r="I69" i="1"/>
  <c r="I56" i="1"/>
  <c r="J68" i="1"/>
  <c r="J55" i="1"/>
  <c r="K67" i="1"/>
  <c r="K54" i="1"/>
  <c r="L66" i="1"/>
  <c r="L53" i="1"/>
  <c r="M65" i="1"/>
  <c r="M52" i="1"/>
  <c r="M69" i="1"/>
  <c r="M56" i="1"/>
  <c r="N65" i="1"/>
  <c r="N52" i="1"/>
  <c r="N69" i="1"/>
  <c r="N56" i="1"/>
  <c r="O68" i="1"/>
  <c r="O55" i="1"/>
  <c r="P67" i="1"/>
  <c r="P54" i="1"/>
  <c r="Q66" i="1"/>
  <c r="Q53" i="1"/>
  <c r="R65" i="1"/>
  <c r="R52" i="1"/>
  <c r="R69" i="1"/>
  <c r="R56" i="1"/>
  <c r="S68" i="1"/>
  <c r="S55" i="1"/>
  <c r="T68" i="1"/>
  <c r="T55" i="1"/>
  <c r="U67" i="1"/>
  <c r="U54" i="1"/>
  <c r="V66" i="1"/>
  <c r="V53" i="1"/>
  <c r="W52" i="1"/>
  <c r="W65" i="1"/>
  <c r="W69" i="1"/>
  <c r="W56" i="1"/>
  <c r="X68" i="1"/>
  <c r="X55" i="1"/>
  <c r="Y67" i="1"/>
  <c r="Y54" i="1"/>
  <c r="Z68" i="1"/>
  <c r="Z55" i="1"/>
  <c r="AA67" i="1"/>
  <c r="AA54" i="1"/>
  <c r="AB66" i="1"/>
  <c r="AB53" i="1"/>
  <c r="AC65" i="1"/>
  <c r="AC52" i="1"/>
  <c r="AC69" i="1"/>
  <c r="AC56" i="1"/>
  <c r="AD68" i="1"/>
  <c r="AD55" i="1"/>
  <c r="AE67" i="1"/>
  <c r="AE54" i="1"/>
  <c r="AG66" i="1"/>
  <c r="AG53" i="1"/>
  <c r="AI65" i="1"/>
  <c r="AI52" i="1"/>
  <c r="AI69" i="1"/>
  <c r="AI56" i="1"/>
  <c r="AK68" i="1"/>
  <c r="AK55" i="1"/>
  <c r="AM67" i="1"/>
  <c r="AM54" i="1"/>
  <c r="AS66" i="1"/>
  <c r="AS53" i="1"/>
  <c r="AW65" i="1"/>
  <c r="AV65" i="1"/>
  <c r="AT65" i="1"/>
  <c r="AU65" i="1"/>
  <c r="AT52" i="1"/>
  <c r="AW69" i="1"/>
  <c r="AU69" i="1"/>
  <c r="AV69" i="1"/>
  <c r="AT69" i="1"/>
  <c r="AT56" i="1"/>
  <c r="AF67" i="1"/>
  <c r="AF54" i="1"/>
  <c r="AH66" i="1"/>
  <c r="AH53" i="1"/>
  <c r="AJ65" i="1"/>
  <c r="AJ52" i="1"/>
  <c r="AJ69" i="1"/>
  <c r="AJ56" i="1"/>
  <c r="AL68" i="1"/>
  <c r="AL55" i="1"/>
  <c r="AN67" i="1"/>
  <c r="AN54" i="1"/>
  <c r="K222" i="1"/>
  <c r="K206" i="1" s="1"/>
  <c r="K223" i="1"/>
  <c r="K207" i="1" s="1"/>
  <c r="B66" i="1"/>
  <c r="B53" i="1"/>
  <c r="C69" i="1"/>
  <c r="C56" i="1"/>
  <c r="E67" i="1"/>
  <c r="E54" i="1"/>
  <c r="B68" i="1"/>
  <c r="B55" i="1"/>
  <c r="C67" i="1"/>
  <c r="C54" i="1"/>
  <c r="D66" i="1"/>
  <c r="D53" i="1"/>
  <c r="E65" i="1"/>
  <c r="E52" i="1"/>
  <c r="E69" i="1"/>
  <c r="E56" i="1"/>
  <c r="F68" i="1"/>
  <c r="F55" i="1"/>
  <c r="G67" i="1"/>
  <c r="G54" i="1"/>
  <c r="H67" i="1"/>
  <c r="H54" i="1"/>
  <c r="I66" i="1"/>
  <c r="I53" i="1"/>
  <c r="J65" i="1"/>
  <c r="J52" i="1"/>
  <c r="J69" i="1"/>
  <c r="J56" i="1"/>
  <c r="K68" i="1"/>
  <c r="K55" i="1"/>
  <c r="L67" i="1"/>
  <c r="L54" i="1"/>
  <c r="M66" i="1"/>
  <c r="M53" i="1"/>
  <c r="N66" i="1"/>
  <c r="N53" i="1"/>
  <c r="O52" i="1"/>
  <c r="O65" i="1"/>
  <c r="O69" i="1"/>
  <c r="O56" i="1"/>
  <c r="P68" i="1"/>
  <c r="P55" i="1"/>
  <c r="Q67" i="1"/>
  <c r="Q54" i="1"/>
  <c r="R66" i="1"/>
  <c r="R53" i="1"/>
  <c r="S65" i="1"/>
  <c r="S52" i="1"/>
  <c r="S69" i="1"/>
  <c r="S56" i="1"/>
  <c r="T65" i="1"/>
  <c r="T52" i="1"/>
  <c r="T69" i="1"/>
  <c r="T56" i="1"/>
  <c r="U68" i="1"/>
  <c r="U55" i="1"/>
  <c r="V67" i="1"/>
  <c r="V54" i="1"/>
  <c r="W53" i="1"/>
  <c r="W66" i="1"/>
  <c r="X65" i="1"/>
  <c r="X52" i="1"/>
  <c r="X69" i="1"/>
  <c r="X56" i="1"/>
  <c r="Y68" i="1"/>
  <c r="Y55" i="1"/>
  <c r="Z65" i="1"/>
  <c r="Z52" i="1"/>
  <c r="Z69" i="1"/>
  <c r="Z56" i="1"/>
  <c r="AA68" i="1"/>
  <c r="AA55" i="1"/>
  <c r="AB67" i="1"/>
  <c r="AB54" i="1"/>
  <c r="AC66" i="1"/>
  <c r="AC53" i="1"/>
  <c r="AD65" i="1"/>
  <c r="AD52" i="1"/>
  <c r="AD69" i="1"/>
  <c r="AD56" i="1"/>
  <c r="AE68" i="1"/>
  <c r="AE55" i="1"/>
  <c r="AG67" i="1"/>
  <c r="AG54" i="1"/>
  <c r="AI66" i="1"/>
  <c r="AI53" i="1"/>
  <c r="AK65" i="1"/>
  <c r="AK52" i="1"/>
  <c r="AK69" i="1"/>
  <c r="AK56" i="1"/>
  <c r="AM68" i="1"/>
  <c r="AM55" i="1"/>
  <c r="AS67" i="1"/>
  <c r="AS54" i="1"/>
  <c r="AW66" i="1"/>
  <c r="AO66" i="1"/>
  <c r="AU66" i="1"/>
  <c r="AT66" i="1"/>
  <c r="AV66" i="1"/>
  <c r="AT53" i="1"/>
  <c r="AF68" i="1"/>
  <c r="AF55" i="1"/>
  <c r="AH67" i="1"/>
  <c r="AH54" i="1"/>
  <c r="AJ66" i="1"/>
  <c r="AJ53" i="1"/>
  <c r="AL65" i="1"/>
  <c r="AL52" i="1"/>
  <c r="AL69" i="1"/>
  <c r="AL56" i="1"/>
  <c r="AN68" i="1"/>
  <c r="AN55" i="1"/>
  <c r="AO67" i="1"/>
  <c r="AO54" i="1"/>
  <c r="B65" i="1"/>
  <c r="B52" i="1"/>
  <c r="B69" i="1"/>
  <c r="B56" i="1"/>
  <c r="C68" i="1"/>
  <c r="C55" i="1"/>
  <c r="D67" i="1"/>
  <c r="D54" i="1"/>
  <c r="E66" i="1"/>
  <c r="E53" i="1"/>
  <c r="F65" i="1"/>
  <c r="F52" i="1"/>
  <c r="F69" i="1"/>
  <c r="F56" i="1"/>
  <c r="G68" i="1"/>
  <c r="G55" i="1"/>
  <c r="H68" i="1"/>
  <c r="H55" i="1"/>
  <c r="I67" i="1"/>
  <c r="I54" i="1"/>
  <c r="J66" i="1"/>
  <c r="J53" i="1"/>
  <c r="K65" i="1"/>
  <c r="K52" i="1"/>
  <c r="K69" i="1"/>
  <c r="K56" i="1"/>
  <c r="L68" i="1"/>
  <c r="L55" i="1"/>
  <c r="M67" i="1"/>
  <c r="M54" i="1"/>
  <c r="N67" i="1"/>
  <c r="N54" i="1"/>
  <c r="O53" i="1"/>
  <c r="O66" i="1"/>
  <c r="P65" i="1"/>
  <c r="P52" i="1"/>
  <c r="P69" i="1"/>
  <c r="P56" i="1"/>
  <c r="Q68" i="1"/>
  <c r="Q55" i="1"/>
  <c r="R67" i="1"/>
  <c r="R54" i="1"/>
  <c r="S66" i="1"/>
  <c r="S53" i="1"/>
  <c r="T66" i="1"/>
  <c r="T53" i="1"/>
  <c r="U65" i="1"/>
  <c r="U52" i="1"/>
  <c r="U69" i="1"/>
  <c r="U56" i="1"/>
  <c r="V68" i="1"/>
  <c r="V55" i="1"/>
  <c r="W67" i="1"/>
  <c r="W54" i="1"/>
  <c r="X66" i="1"/>
  <c r="X53" i="1"/>
  <c r="Y65" i="1"/>
  <c r="Y52" i="1"/>
  <c r="Y69" i="1"/>
  <c r="Y56" i="1"/>
  <c r="Z66" i="1"/>
  <c r="Z53" i="1"/>
  <c r="AA65" i="1"/>
  <c r="AA52" i="1"/>
  <c r="AA69" i="1"/>
  <c r="AA56" i="1"/>
  <c r="AB68" i="1"/>
  <c r="AB55" i="1"/>
  <c r="AC67" i="1"/>
  <c r="AC54" i="1"/>
  <c r="AD66" i="1"/>
  <c r="AD53" i="1"/>
  <c r="AE52" i="1"/>
  <c r="AE65" i="1"/>
  <c r="AE69" i="1"/>
  <c r="AE56" i="1"/>
  <c r="AG68" i="1"/>
  <c r="AG55" i="1"/>
  <c r="AI67" i="1"/>
  <c r="AI54" i="1"/>
  <c r="AK66" i="1"/>
  <c r="AK53" i="1"/>
  <c r="AM65" i="1"/>
  <c r="AM52" i="1"/>
  <c r="AM69" i="1"/>
  <c r="AM56" i="1"/>
  <c r="AS68" i="1"/>
  <c r="AS55" i="1"/>
  <c r="AW67" i="1"/>
  <c r="AU67" i="1"/>
  <c r="AV67" i="1"/>
  <c r="AT67" i="1"/>
  <c r="AT54" i="1"/>
  <c r="AF65" i="1"/>
  <c r="AF52" i="1"/>
  <c r="AF69" i="1"/>
  <c r="AF56" i="1"/>
  <c r="AH68" i="1"/>
  <c r="AH55" i="1"/>
  <c r="AJ67" i="1"/>
  <c r="AJ54" i="1"/>
  <c r="AL66" i="1"/>
  <c r="AL53" i="1"/>
  <c r="AN65" i="1"/>
  <c r="AN52" i="1"/>
  <c r="AN69" i="1"/>
  <c r="AN56" i="1"/>
  <c r="AO68" i="1"/>
  <c r="AO55" i="1"/>
  <c r="K220" i="1"/>
  <c r="K204" i="1" s="1"/>
  <c r="V6" i="1"/>
  <c r="X7" i="1" s="1"/>
  <c r="V9" i="1"/>
  <c r="X13" i="1" s="1"/>
  <c r="V10" i="1"/>
  <c r="V7" i="1"/>
  <c r="X12" i="1" s="1"/>
  <c r="V11" i="1"/>
  <c r="V12" i="1"/>
  <c r="X8" i="1" s="1"/>
  <c r="V5" i="1"/>
  <c r="X6" i="1" s="1"/>
  <c r="F13" i="1"/>
  <c r="F12" i="1" s="1"/>
  <c r="G13" i="1"/>
  <c r="G12" i="1" s="1"/>
  <c r="V8" i="1"/>
  <c r="V13" i="1"/>
  <c r="X9" i="1" s="1"/>
  <c r="W295" i="1"/>
  <c r="W310" i="1"/>
  <c r="V310" i="1"/>
  <c r="X310" i="1"/>
  <c r="N203" i="1"/>
  <c r="AB272" i="1"/>
  <c r="AD272" i="1" s="1"/>
  <c r="AA272" i="1"/>
  <c r="Z272" i="1"/>
  <c r="Y280" i="1"/>
  <c r="AA280" i="1" s="1"/>
  <c r="G225" i="1"/>
  <c r="G207" i="1" s="1"/>
  <c r="Y277" i="1"/>
  <c r="AA277" i="1" s="1"/>
  <c r="Y284" i="1"/>
  <c r="W304" i="1"/>
  <c r="V304" i="1"/>
  <c r="X304" i="1"/>
  <c r="Q225" i="1"/>
  <c r="Q207" i="1" s="1"/>
  <c r="M225" i="1"/>
  <c r="M205" i="1" s="1"/>
  <c r="I225" i="1"/>
  <c r="E225" i="1"/>
  <c r="E204" i="1" s="1"/>
  <c r="S225" i="1"/>
  <c r="S203" i="1" s="1"/>
  <c r="C225" i="1"/>
  <c r="J225" i="1"/>
  <c r="R225" i="1"/>
  <c r="R207" i="1" s="1"/>
  <c r="AA287" i="1"/>
  <c r="Z287" i="1"/>
  <c r="AB287" i="1"/>
  <c r="AD287" i="1" s="1"/>
  <c r="Z271" i="1"/>
  <c r="AB271" i="1"/>
  <c r="AD271" i="1" s="1"/>
  <c r="AB273" i="1"/>
  <c r="AD273" i="1" s="1"/>
  <c r="X281" i="1"/>
  <c r="Y283" i="1"/>
  <c r="Z283" i="1" s="1"/>
  <c r="W302" i="1"/>
  <c r="V302" i="1"/>
  <c r="X302" i="1"/>
  <c r="W312" i="1"/>
  <c r="V312" i="1"/>
  <c r="U225" i="1"/>
  <c r="U204" i="1" s="1"/>
  <c r="D225" i="1"/>
  <c r="H225" i="1"/>
  <c r="L225" i="1"/>
  <c r="L203" i="1" s="1"/>
  <c r="P225" i="1"/>
  <c r="T225" i="1"/>
  <c r="T208" i="1" s="1"/>
  <c r="Z273" i="1"/>
  <c r="AA275" i="1"/>
  <c r="Y282" i="1"/>
  <c r="Z282" i="1" s="1"/>
  <c r="Y290" i="1"/>
  <c r="W308" i="1"/>
  <c r="V308" i="1"/>
  <c r="AB286" i="1"/>
  <c r="AD286" i="1" s="1"/>
  <c r="W306" i="1"/>
  <c r="V306" i="1"/>
  <c r="W314" i="1"/>
  <c r="V314" i="1"/>
  <c r="Y288" i="1"/>
  <c r="AB288" i="1" s="1"/>
  <c r="AD288" i="1" s="1"/>
  <c r="Y292" i="1"/>
  <c r="AB292" i="1" s="1"/>
  <c r="AD292" i="1" s="1"/>
  <c r="Y297" i="1"/>
  <c r="AA297" i="1" s="1"/>
  <c r="Y313" i="1" l="1"/>
  <c r="AA313" i="1" s="1"/>
  <c r="Y307" i="1"/>
  <c r="AA307" i="1" s="1"/>
  <c r="AA286" i="1"/>
  <c r="Y305" i="1"/>
  <c r="Z305" i="1" s="1"/>
  <c r="N204" i="1"/>
  <c r="N207" i="1"/>
  <c r="N208" i="1"/>
  <c r="AA296" i="1"/>
  <c r="F149" i="1"/>
  <c r="F82" i="1"/>
  <c r="F115" i="1"/>
  <c r="F132" i="1"/>
  <c r="F99" i="1"/>
  <c r="N206" i="1"/>
  <c r="N209" i="1" s="1"/>
  <c r="AB275" i="1"/>
  <c r="AD275" i="1" s="1"/>
  <c r="AC275" i="1" s="1"/>
  <c r="Y309" i="1"/>
  <c r="AB309" i="1" s="1"/>
  <c r="AD309" i="1" s="1"/>
  <c r="AA291" i="1"/>
  <c r="Y278" i="1"/>
  <c r="Z278" i="1" s="1"/>
  <c r="Z291" i="1"/>
  <c r="F208" i="1"/>
  <c r="BP169" i="1" s="1"/>
  <c r="F204" i="1"/>
  <c r="BP182" i="1" s="1"/>
  <c r="Z288" i="1"/>
  <c r="AC288" i="1" s="1"/>
  <c r="O206" i="1"/>
  <c r="X133" i="1" s="1"/>
  <c r="F203" i="1"/>
  <c r="AZ164" i="1" s="1"/>
  <c r="F207" i="1"/>
  <c r="AZ168" i="1" s="1"/>
  <c r="O205" i="1"/>
  <c r="X149" i="1" s="1"/>
  <c r="F206" i="1"/>
  <c r="AZ167" i="1" s="1"/>
  <c r="V14" i="1"/>
  <c r="X14" i="1" s="1"/>
  <c r="L205" i="1"/>
  <c r="N166" i="1" s="1"/>
  <c r="AA294" i="1"/>
  <c r="Z294" i="1"/>
  <c r="AC294" i="1" s="1"/>
  <c r="AB284" i="1"/>
  <c r="AD284" i="1" s="1"/>
  <c r="AA284" i="1"/>
  <c r="AJ164" i="1"/>
  <c r="AJ181" i="1"/>
  <c r="L181" i="1"/>
  <c r="AB181" i="1"/>
  <c r="L164" i="1"/>
  <c r="AB164" i="1"/>
  <c r="AZ166" i="1"/>
  <c r="BP166" i="1"/>
  <c r="BH183" i="1"/>
  <c r="BH166" i="1"/>
  <c r="AR166" i="1"/>
  <c r="AR183" i="1"/>
  <c r="AZ183" i="1"/>
  <c r="BP183" i="1"/>
  <c r="AB165" i="1"/>
  <c r="L165" i="1"/>
  <c r="AB182" i="1"/>
  <c r="AJ165" i="1"/>
  <c r="L182" i="1"/>
  <c r="AJ182" i="1"/>
  <c r="AJ168" i="1"/>
  <c r="L168" i="1"/>
  <c r="L185" i="1"/>
  <c r="AB168" i="1"/>
  <c r="AB185" i="1"/>
  <c r="AJ185" i="1"/>
  <c r="AC273" i="1"/>
  <c r="BH165" i="1"/>
  <c r="AR165" i="1"/>
  <c r="J205" i="1"/>
  <c r="J203" i="1"/>
  <c r="I204" i="1"/>
  <c r="AS202" i="1" s="1"/>
  <c r="I205" i="1"/>
  <c r="AC132" i="1" s="1"/>
  <c r="AB280" i="1"/>
  <c r="AD280" i="1" s="1"/>
  <c r="Z280" i="1"/>
  <c r="O208" i="1"/>
  <c r="P135" i="1" s="1"/>
  <c r="O204" i="1"/>
  <c r="P131" i="1" s="1"/>
  <c r="O207" i="1"/>
  <c r="X151" i="1" s="1"/>
  <c r="AB169" i="1"/>
  <c r="L169" i="1"/>
  <c r="AJ169" i="1"/>
  <c r="L186" i="1"/>
  <c r="AB186" i="1"/>
  <c r="AJ186" i="1"/>
  <c r="AF165" i="1"/>
  <c r="BL165" i="1"/>
  <c r="P165" i="1"/>
  <c r="AV165" i="1"/>
  <c r="AF182" i="1"/>
  <c r="H165" i="1"/>
  <c r="BT165" i="1"/>
  <c r="AN182" i="1"/>
  <c r="BT182" i="1"/>
  <c r="AN165" i="1"/>
  <c r="BD182" i="1"/>
  <c r="P182" i="1"/>
  <c r="AV182" i="1"/>
  <c r="X165" i="1"/>
  <c r="BL182" i="1"/>
  <c r="BD165" i="1"/>
  <c r="H182" i="1"/>
  <c r="X182" i="1"/>
  <c r="F183" i="1"/>
  <c r="O181" i="1"/>
  <c r="AU181" i="1"/>
  <c r="AM181" i="1"/>
  <c r="BC181" i="1"/>
  <c r="BS181" i="1"/>
  <c r="G181" i="1"/>
  <c r="BK181" i="1"/>
  <c r="F164" i="1"/>
  <c r="F181" i="1"/>
  <c r="N164" i="1"/>
  <c r="BI165" i="1"/>
  <c r="BI182" i="1"/>
  <c r="V168" i="1"/>
  <c r="BB168" i="1"/>
  <c r="AL168" i="1"/>
  <c r="AD185" i="1"/>
  <c r="AD168" i="1"/>
  <c r="AL185" i="1"/>
  <c r="AT185" i="1"/>
  <c r="BB185" i="1"/>
  <c r="N185" i="1"/>
  <c r="V185" i="1"/>
  <c r="AT168" i="1"/>
  <c r="AR186" i="1"/>
  <c r="L167" i="1"/>
  <c r="AB167" i="1"/>
  <c r="AJ167" i="1"/>
  <c r="AB184" i="1"/>
  <c r="AJ184" i="1"/>
  <c r="L184" i="1"/>
  <c r="AJ166" i="1"/>
  <c r="AB166" i="1"/>
  <c r="AB183" i="1"/>
  <c r="L183" i="1"/>
  <c r="AJ183" i="1"/>
  <c r="L166" i="1"/>
  <c r="G169" i="1"/>
  <c r="AM169" i="1"/>
  <c r="BS169" i="1"/>
  <c r="W169" i="1"/>
  <c r="BC169" i="1"/>
  <c r="O169" i="1"/>
  <c r="AU169" i="1"/>
  <c r="AE169" i="1"/>
  <c r="W186" i="1"/>
  <c r="BK169" i="1"/>
  <c r="AE186" i="1"/>
  <c r="BH167" i="1"/>
  <c r="AZ184" i="1"/>
  <c r="BP184" i="1"/>
  <c r="AR184" i="1"/>
  <c r="BP168" i="1"/>
  <c r="BP185" i="1"/>
  <c r="AB278" i="1"/>
  <c r="AD278" i="1" s="1"/>
  <c r="AC278" i="1" s="1"/>
  <c r="Q204" i="1"/>
  <c r="O148" i="1" s="1"/>
  <c r="Q205" i="1"/>
  <c r="H132" i="1" s="1"/>
  <c r="AC287" i="1"/>
  <c r="AB277" i="1"/>
  <c r="AD277" i="1" s="1"/>
  <c r="Z277" i="1"/>
  <c r="M208" i="1"/>
  <c r="S206" i="1"/>
  <c r="AL150" i="1" s="1"/>
  <c r="AA276" i="1"/>
  <c r="Z276" i="1"/>
  <c r="AB276" i="1"/>
  <c r="AD276" i="1" s="1"/>
  <c r="Z290" i="1"/>
  <c r="AA290" i="1"/>
  <c r="AA289" i="1"/>
  <c r="Z289" i="1"/>
  <c r="AC289" i="1" s="1"/>
  <c r="AC291" i="1"/>
  <c r="AC272" i="1"/>
  <c r="I206" i="1"/>
  <c r="AK133" i="1" s="1"/>
  <c r="AA293" i="1"/>
  <c r="Z293" i="1"/>
  <c r="AC293" i="1" s="1"/>
  <c r="L208" i="1"/>
  <c r="T152" i="1" s="1"/>
  <c r="J204" i="1"/>
  <c r="Q203" i="1"/>
  <c r="O113" i="1" s="1"/>
  <c r="T203" i="1"/>
  <c r="AU97" i="1" s="1"/>
  <c r="E205" i="1"/>
  <c r="AK115" i="1" s="1"/>
  <c r="U205" i="1"/>
  <c r="AV115" i="1" s="1"/>
  <c r="J206" i="1"/>
  <c r="X11" i="1"/>
  <c r="X5" i="1"/>
  <c r="X16" i="1" s="1"/>
  <c r="Y9" i="1" s="1"/>
  <c r="AT205" i="1"/>
  <c r="Y306" i="1"/>
  <c r="AB306" i="1" s="1"/>
  <c r="AD306" i="1" s="1"/>
  <c r="H204" i="1"/>
  <c r="H205" i="1"/>
  <c r="H203" i="1"/>
  <c r="AB297" i="1"/>
  <c r="AD297" i="1" s="1"/>
  <c r="Z297" i="1"/>
  <c r="Y281" i="1"/>
  <c r="AA281" i="1" s="1"/>
  <c r="P204" i="1"/>
  <c r="P205" i="1"/>
  <c r="AN114" i="1"/>
  <c r="AN148" i="1"/>
  <c r="AV148" i="1"/>
  <c r="AV131" i="1"/>
  <c r="AN131" i="1"/>
  <c r="AV81" i="1"/>
  <c r="AV98" i="1"/>
  <c r="AN98" i="1"/>
  <c r="AN81" i="1"/>
  <c r="AV114" i="1"/>
  <c r="AA282" i="1"/>
  <c r="AJ149" i="1"/>
  <c r="D149" i="1"/>
  <c r="C205" i="1"/>
  <c r="C204" i="1"/>
  <c r="M204" i="1"/>
  <c r="M207" i="1"/>
  <c r="E207" i="1"/>
  <c r="C207" i="1"/>
  <c r="R204" i="1"/>
  <c r="Y304" i="1"/>
  <c r="AA304" i="1" s="1"/>
  <c r="H207" i="1"/>
  <c r="C208" i="1"/>
  <c r="E208" i="1"/>
  <c r="U208" i="1"/>
  <c r="AJ116" i="1"/>
  <c r="D116" i="1"/>
  <c r="L133" i="1"/>
  <c r="AB116" i="1"/>
  <c r="T116" i="1"/>
  <c r="AJ133" i="1"/>
  <c r="H206" i="1"/>
  <c r="O80" i="1"/>
  <c r="AJ147" i="1"/>
  <c r="D147" i="1"/>
  <c r="AR147" i="1"/>
  <c r="T147" i="1"/>
  <c r="L147" i="1"/>
  <c r="AB147" i="1"/>
  <c r="U203" i="1"/>
  <c r="AU201" i="1"/>
  <c r="AT147" i="1"/>
  <c r="AL147" i="1"/>
  <c r="AL130" i="1"/>
  <c r="AE130" i="1"/>
  <c r="AL113" i="1"/>
  <c r="AE113" i="1"/>
  <c r="W147" i="1"/>
  <c r="AE147" i="1"/>
  <c r="AT130" i="1"/>
  <c r="W130" i="1"/>
  <c r="W113" i="1"/>
  <c r="AE97" i="1"/>
  <c r="W97" i="1"/>
  <c r="AT80" i="1"/>
  <c r="W80" i="1"/>
  <c r="AT97" i="1"/>
  <c r="AL97" i="1"/>
  <c r="AL80" i="1"/>
  <c r="AE80" i="1"/>
  <c r="AT113" i="1"/>
  <c r="AB311" i="1"/>
  <c r="AD311" i="1" s="1"/>
  <c r="AC311" i="1" s="1"/>
  <c r="AB303" i="1"/>
  <c r="AD303" i="1" s="1"/>
  <c r="AC303" i="1" s="1"/>
  <c r="L204" i="1"/>
  <c r="L207" i="1"/>
  <c r="Y312" i="1"/>
  <c r="AB312" i="1" s="1"/>
  <c r="AD312" i="1" s="1"/>
  <c r="Y302" i="1"/>
  <c r="Z302" i="1" s="1"/>
  <c r="AC271" i="1"/>
  <c r="G205" i="1"/>
  <c r="S204" i="1"/>
  <c r="S205" i="1"/>
  <c r="J207" i="1"/>
  <c r="AB290" i="1"/>
  <c r="AD290" i="1" s="1"/>
  <c r="AB282" i="1"/>
  <c r="AD282" i="1" s="1"/>
  <c r="AC282" i="1" s="1"/>
  <c r="AA288" i="1"/>
  <c r="J208" i="1"/>
  <c r="S208" i="1"/>
  <c r="I208" i="1"/>
  <c r="P150" i="1"/>
  <c r="G150" i="1"/>
  <c r="AD150" i="1"/>
  <c r="P133" i="1"/>
  <c r="X116" i="1"/>
  <c r="P116" i="1"/>
  <c r="G100" i="1"/>
  <c r="AD83" i="1"/>
  <c r="AD100" i="1"/>
  <c r="P100" i="1"/>
  <c r="M206" i="1"/>
  <c r="L206" i="1"/>
  <c r="I203" i="1"/>
  <c r="R203" i="1"/>
  <c r="E203" i="1"/>
  <c r="C203" i="1"/>
  <c r="Y310" i="1"/>
  <c r="AA310" i="1" s="1"/>
  <c r="AA292" i="1"/>
  <c r="D134" i="1"/>
  <c r="AR134" i="1"/>
  <c r="AR117" i="1"/>
  <c r="Y314" i="1"/>
  <c r="AB314" i="1" s="1"/>
  <c r="AD314" i="1" s="1"/>
  <c r="V151" i="1"/>
  <c r="N151" i="1"/>
  <c r="V134" i="1"/>
  <c r="N134" i="1"/>
  <c r="V101" i="1"/>
  <c r="V84" i="1"/>
  <c r="N117" i="1"/>
  <c r="N84" i="1"/>
  <c r="V117" i="1"/>
  <c r="N101" i="1"/>
  <c r="AC114" i="1"/>
  <c r="U114" i="1"/>
  <c r="M114" i="1"/>
  <c r="E114" i="1"/>
  <c r="AS98" i="1"/>
  <c r="M98" i="1"/>
  <c r="AS114" i="1"/>
  <c r="AK114" i="1"/>
  <c r="E98" i="1"/>
  <c r="U98" i="1"/>
  <c r="AK98" i="1"/>
  <c r="AC98" i="1"/>
  <c r="O134" i="1"/>
  <c r="H134" i="1"/>
  <c r="O151" i="1"/>
  <c r="O117" i="1"/>
  <c r="O101" i="1"/>
  <c r="H101" i="1"/>
  <c r="O84" i="1"/>
  <c r="H117" i="1"/>
  <c r="H151" i="1"/>
  <c r="H84" i="1"/>
  <c r="P207" i="1"/>
  <c r="G117" i="1"/>
  <c r="AC286" i="1"/>
  <c r="G204" i="1"/>
  <c r="G208" i="1"/>
  <c r="H208" i="1"/>
  <c r="R208" i="1"/>
  <c r="G206" i="1"/>
  <c r="E206" i="1"/>
  <c r="U206" i="1"/>
  <c r="P206" i="1"/>
  <c r="AJ113" i="1"/>
  <c r="G203" i="1"/>
  <c r="AU152" i="1"/>
  <c r="AU135" i="1"/>
  <c r="AU118" i="1"/>
  <c r="AU102" i="1"/>
  <c r="AU85" i="1"/>
  <c r="Y295" i="1"/>
  <c r="AR203" i="1"/>
  <c r="AJ132" i="1"/>
  <c r="D132" i="1"/>
  <c r="T115" i="1"/>
  <c r="AR132" i="1"/>
  <c r="T132" i="1"/>
  <c r="AR115" i="1"/>
  <c r="AJ115" i="1"/>
  <c r="AB115" i="1"/>
  <c r="D115" i="1"/>
  <c r="L132" i="1"/>
  <c r="AB132" i="1"/>
  <c r="L115" i="1"/>
  <c r="Z313" i="1"/>
  <c r="AA305" i="1"/>
  <c r="Y308" i="1"/>
  <c r="AB308" i="1" s="1"/>
  <c r="AD308" i="1" s="1"/>
  <c r="T204" i="1"/>
  <c r="T205" i="1"/>
  <c r="T207" i="1"/>
  <c r="D207" i="1"/>
  <c r="D205" i="1"/>
  <c r="D204" i="1"/>
  <c r="AJ131" i="1"/>
  <c r="D114" i="1"/>
  <c r="L131" i="1"/>
  <c r="AA311" i="1"/>
  <c r="Z292" i="1"/>
  <c r="AC292" i="1" s="1"/>
  <c r="AA283" i="1"/>
  <c r="AB283" i="1"/>
  <c r="AD283" i="1" s="1"/>
  <c r="AC283" i="1" s="1"/>
  <c r="R205" i="1"/>
  <c r="M148" i="1"/>
  <c r="AC148" i="1"/>
  <c r="U131" i="1"/>
  <c r="I207" i="1"/>
  <c r="U207" i="1"/>
  <c r="S207" i="1"/>
  <c r="Z284" i="1"/>
  <c r="K209" i="1"/>
  <c r="D208" i="1"/>
  <c r="P208" i="1"/>
  <c r="Q208" i="1"/>
  <c r="Q206" i="1"/>
  <c r="R206" i="1"/>
  <c r="C206" i="1"/>
  <c r="D206" i="1"/>
  <c r="T206" i="1"/>
  <c r="D203" i="1"/>
  <c r="M203" i="1"/>
  <c r="P203" i="1"/>
  <c r="AD147" i="1"/>
  <c r="X130" i="1"/>
  <c r="X113" i="1"/>
  <c r="X147" i="1"/>
  <c r="P147" i="1"/>
  <c r="G147" i="1"/>
  <c r="AD130" i="1"/>
  <c r="AD113" i="1"/>
  <c r="P113" i="1"/>
  <c r="G113" i="1"/>
  <c r="G80" i="1"/>
  <c r="AD80" i="1"/>
  <c r="P80" i="1"/>
  <c r="P130" i="1"/>
  <c r="AD97" i="1"/>
  <c r="X80" i="1"/>
  <c r="G130" i="1"/>
  <c r="X97" i="1"/>
  <c r="P97" i="1"/>
  <c r="G97" i="1"/>
  <c r="AA303" i="1"/>
  <c r="L114" i="1" l="1"/>
  <c r="AR131" i="1"/>
  <c r="G115" i="1"/>
  <c r="AD101" i="1"/>
  <c r="T117" i="1"/>
  <c r="BH168" i="1"/>
  <c r="AR182" i="1"/>
  <c r="AB313" i="1"/>
  <c r="AD313" i="1" s="1"/>
  <c r="AR114" i="1"/>
  <c r="Z307" i="1"/>
  <c r="AC307" i="1" s="1"/>
  <c r="AR118" i="1"/>
  <c r="G101" i="1"/>
  <c r="AB117" i="1"/>
  <c r="AB134" i="1"/>
  <c r="AB307" i="1"/>
  <c r="AD307" i="1" s="1"/>
  <c r="AR168" i="1"/>
  <c r="BH182" i="1"/>
  <c r="G81" i="1"/>
  <c r="AB305" i="1"/>
  <c r="AD305" i="1" s="1"/>
  <c r="AR130" i="1"/>
  <c r="T118" i="1"/>
  <c r="AR181" i="1"/>
  <c r="AR187" i="1" s="1"/>
  <c r="X131" i="1"/>
  <c r="E148" i="1"/>
  <c r="AS148" i="1"/>
  <c r="T113" i="1"/>
  <c r="AB135" i="1"/>
  <c r="AB304" i="1"/>
  <c r="AD304" i="1" s="1"/>
  <c r="G83" i="1"/>
  <c r="X100" i="1"/>
  <c r="AD116" i="1"/>
  <c r="G133" i="1"/>
  <c r="X150" i="1"/>
  <c r="H98" i="1"/>
  <c r="H149" i="1"/>
  <c r="Z309" i="1"/>
  <c r="AC309" i="1" s="1"/>
  <c r="AB133" i="1"/>
  <c r="AR133" i="1"/>
  <c r="T133" i="1"/>
  <c r="AA309" i="1"/>
  <c r="BH184" i="1"/>
  <c r="AR167" i="1"/>
  <c r="BP186" i="1"/>
  <c r="BP181" i="1"/>
  <c r="BP187" i="1" s="1"/>
  <c r="AK148" i="1"/>
  <c r="AK132" i="1"/>
  <c r="AR135" i="1"/>
  <c r="AN132" i="1"/>
  <c r="X83" i="1"/>
  <c r="P83" i="1"/>
  <c r="G116" i="1"/>
  <c r="AD133" i="1"/>
  <c r="H131" i="1"/>
  <c r="D133" i="1"/>
  <c r="L116" i="1"/>
  <c r="AR116" i="1"/>
  <c r="AR204" i="1"/>
  <c r="BP167" i="1"/>
  <c r="BH186" i="1"/>
  <c r="AD81" i="1"/>
  <c r="E132" i="1"/>
  <c r="P132" i="1"/>
  <c r="P136" i="1" s="1"/>
  <c r="F113" i="1"/>
  <c r="F147" i="1"/>
  <c r="F80" i="1"/>
  <c r="F97" i="1"/>
  <c r="F130" i="1"/>
  <c r="AD131" i="1"/>
  <c r="M131" i="1"/>
  <c r="AC131" i="1"/>
  <c r="U148" i="1"/>
  <c r="U132" i="1"/>
  <c r="AB131" i="1"/>
  <c r="AB114" i="1"/>
  <c r="AJ114" i="1"/>
  <c r="AR202" i="1"/>
  <c r="AT100" i="1"/>
  <c r="X82" i="1"/>
  <c r="AD132" i="1"/>
  <c r="D117" i="1"/>
  <c r="L134" i="1"/>
  <c r="AJ134" i="1"/>
  <c r="F117" i="1"/>
  <c r="F151" i="1"/>
  <c r="F84" i="1"/>
  <c r="F101" i="1"/>
  <c r="F134" i="1"/>
  <c r="AB149" i="1"/>
  <c r="L149" i="1"/>
  <c r="F135" i="1"/>
  <c r="F102" i="1"/>
  <c r="F118" i="1"/>
  <c r="F152" i="1"/>
  <c r="F85" i="1"/>
  <c r="BH185" i="1"/>
  <c r="AR185" i="1"/>
  <c r="F166" i="1"/>
  <c r="AZ182" i="1"/>
  <c r="AD148" i="1"/>
  <c r="E131" i="1"/>
  <c r="AK131" i="1"/>
  <c r="AS131" i="1"/>
  <c r="E149" i="1"/>
  <c r="T114" i="1"/>
  <c r="T131" i="1"/>
  <c r="D131" i="1"/>
  <c r="L130" i="1"/>
  <c r="F209" i="1"/>
  <c r="D135" i="1"/>
  <c r="AJ118" i="1"/>
  <c r="P99" i="1"/>
  <c r="AJ117" i="1"/>
  <c r="AJ119" i="1" s="1"/>
  <c r="L117" i="1"/>
  <c r="T134" i="1"/>
  <c r="AR205" i="1"/>
  <c r="F100" i="1"/>
  <c r="F133" i="1"/>
  <c r="F150" i="1"/>
  <c r="F83" i="1"/>
  <c r="F116" i="1"/>
  <c r="O99" i="1"/>
  <c r="F131" i="1"/>
  <c r="F98" i="1"/>
  <c r="F114" i="1"/>
  <c r="F119" i="1" s="1"/>
  <c r="F148" i="1"/>
  <c r="F81" i="1"/>
  <c r="T149" i="1"/>
  <c r="AR149" i="1"/>
  <c r="AZ185" i="1"/>
  <c r="AR169" i="1"/>
  <c r="BP165" i="1"/>
  <c r="P81" i="1"/>
  <c r="G114" i="1"/>
  <c r="G148" i="1"/>
  <c r="Z304" i="1"/>
  <c r="M132" i="1"/>
  <c r="AS203" i="1"/>
  <c r="D113" i="1"/>
  <c r="AR113" i="1"/>
  <c r="T130" i="1"/>
  <c r="AJ135" i="1"/>
  <c r="AB118" i="1"/>
  <c r="D118" i="1"/>
  <c r="G82" i="1"/>
  <c r="G149" i="1"/>
  <c r="O132" i="1"/>
  <c r="AC150" i="1"/>
  <c r="AZ186" i="1"/>
  <c r="BH169" i="1"/>
  <c r="BP164" i="1"/>
  <c r="G98" i="1"/>
  <c r="AD114" i="1"/>
  <c r="G131" i="1"/>
  <c r="AS132" i="1"/>
  <c r="AC149" i="1"/>
  <c r="AJ130" i="1"/>
  <c r="AB130" i="1"/>
  <c r="AR206" i="1"/>
  <c r="L118" i="1"/>
  <c r="L135" i="1"/>
  <c r="T135" i="1"/>
  <c r="AD82" i="1"/>
  <c r="X132" i="1"/>
  <c r="P149" i="1"/>
  <c r="AS99" i="1"/>
  <c r="H82" i="1"/>
  <c r="H130" i="1"/>
  <c r="AA278" i="1"/>
  <c r="AZ169" i="1"/>
  <c r="BH164" i="1"/>
  <c r="U99" i="1"/>
  <c r="E150" i="1"/>
  <c r="P148" i="1"/>
  <c r="P98" i="1"/>
  <c r="X114" i="1"/>
  <c r="X148" i="1"/>
  <c r="AC284" i="1"/>
  <c r="U149" i="1"/>
  <c r="AB302" i="1"/>
  <c r="AD302" i="1" s="1"/>
  <c r="AC302" i="1" s="1"/>
  <c r="L113" i="1"/>
  <c r="L119" i="1" s="1"/>
  <c r="AB113" i="1"/>
  <c r="D130" i="1"/>
  <c r="AR201" i="1"/>
  <c r="G99" i="1"/>
  <c r="AD99" i="1"/>
  <c r="P115" i="1"/>
  <c r="X115" i="1"/>
  <c r="AD149" i="1"/>
  <c r="AC115" i="1"/>
  <c r="M115" i="1"/>
  <c r="H81" i="1"/>
  <c r="O131" i="1"/>
  <c r="H99" i="1"/>
  <c r="AA302" i="1"/>
  <c r="O147" i="1"/>
  <c r="U150" i="1"/>
  <c r="BH181" i="1"/>
  <c r="AR164" i="1"/>
  <c r="AR170" i="1" s="1"/>
  <c r="AZ165" i="1"/>
  <c r="AC313" i="1"/>
  <c r="P82" i="1"/>
  <c r="X99" i="1"/>
  <c r="AD115" i="1"/>
  <c r="G132" i="1"/>
  <c r="AB281" i="1"/>
  <c r="AD281" i="1" s="1"/>
  <c r="H113" i="1"/>
  <c r="AZ181" i="1"/>
  <c r="H168" i="1"/>
  <c r="AN168" i="1"/>
  <c r="BT168" i="1"/>
  <c r="X168" i="1"/>
  <c r="BD168" i="1"/>
  <c r="AV168" i="1"/>
  <c r="P185" i="1"/>
  <c r="AV185" i="1"/>
  <c r="P168" i="1"/>
  <c r="H185" i="1"/>
  <c r="AF168" i="1"/>
  <c r="BL168" i="1"/>
  <c r="BD185" i="1"/>
  <c r="BL185" i="1"/>
  <c r="BT185" i="1"/>
  <c r="X185" i="1"/>
  <c r="AF185" i="1"/>
  <c r="AN185" i="1"/>
  <c r="O168" i="1"/>
  <c r="AU168" i="1"/>
  <c r="AE168" i="1"/>
  <c r="BK168" i="1"/>
  <c r="W168" i="1"/>
  <c r="W185" i="1"/>
  <c r="BC168" i="1"/>
  <c r="G168" i="1"/>
  <c r="AM168" i="1"/>
  <c r="AE185" i="1"/>
  <c r="BS168" i="1"/>
  <c r="V164" i="1"/>
  <c r="BB164" i="1"/>
  <c r="AL164" i="1"/>
  <c r="V181" i="1"/>
  <c r="BB181" i="1"/>
  <c r="AD164" i="1"/>
  <c r="N181" i="1"/>
  <c r="AL181" i="1"/>
  <c r="AT164" i="1"/>
  <c r="AD181" i="1"/>
  <c r="AT181" i="1"/>
  <c r="X84" i="1"/>
  <c r="P134" i="1"/>
  <c r="X117" i="1"/>
  <c r="BI169" i="1"/>
  <c r="BI186" i="1"/>
  <c r="BI168" i="1"/>
  <c r="BI185" i="1"/>
  <c r="BQ164" i="1"/>
  <c r="AK181" i="1"/>
  <c r="BA181" i="1"/>
  <c r="AK164" i="1"/>
  <c r="BQ181" i="1"/>
  <c r="BA164" i="1"/>
  <c r="X166" i="1"/>
  <c r="BD166" i="1"/>
  <c r="H166" i="1"/>
  <c r="AN166" i="1"/>
  <c r="BT166" i="1"/>
  <c r="BL166" i="1"/>
  <c r="AF183" i="1"/>
  <c r="BL183" i="1"/>
  <c r="AF166" i="1"/>
  <c r="P183" i="1"/>
  <c r="P166" i="1"/>
  <c r="X183" i="1"/>
  <c r="AV166" i="1"/>
  <c r="BT183" i="1"/>
  <c r="H183" i="1"/>
  <c r="AN183" i="1"/>
  <c r="AV183" i="1"/>
  <c r="BD183" i="1"/>
  <c r="AV149" i="1"/>
  <c r="AN99" i="1"/>
  <c r="AN82" i="1"/>
  <c r="AN149" i="1"/>
  <c r="AN115" i="1"/>
  <c r="AV99" i="1"/>
  <c r="U165" i="1"/>
  <c r="E165" i="1"/>
  <c r="U182" i="1"/>
  <c r="AC165" i="1"/>
  <c r="AC182" i="1"/>
  <c r="M165" i="1"/>
  <c r="M182" i="1"/>
  <c r="E182" i="1"/>
  <c r="AL133" i="1"/>
  <c r="BK184" i="1"/>
  <c r="AM184" i="1"/>
  <c r="AU184" i="1"/>
  <c r="BC184" i="1"/>
  <c r="G184" i="1"/>
  <c r="O184" i="1"/>
  <c r="BS184" i="1"/>
  <c r="AE100" i="1"/>
  <c r="D168" i="1"/>
  <c r="T168" i="1"/>
  <c r="AS168" i="1"/>
  <c r="T185" i="1"/>
  <c r="AS185" i="1"/>
  <c r="D185" i="1"/>
  <c r="BJ165" i="1"/>
  <c r="BR182" i="1"/>
  <c r="BR165" i="1"/>
  <c r="BJ182" i="1"/>
  <c r="AE166" i="1"/>
  <c r="BK166" i="1"/>
  <c r="O166" i="1"/>
  <c r="AU166" i="1"/>
  <c r="AM166" i="1"/>
  <c r="G166" i="1"/>
  <c r="BS166" i="1"/>
  <c r="W183" i="1"/>
  <c r="W166" i="1"/>
  <c r="BC166" i="1"/>
  <c r="AE183" i="1"/>
  <c r="J209" i="1"/>
  <c r="AT133" i="1"/>
  <c r="AD167" i="1"/>
  <c r="AT167" i="1"/>
  <c r="AL184" i="1"/>
  <c r="AL167" i="1"/>
  <c r="V167" i="1"/>
  <c r="N184" i="1"/>
  <c r="V184" i="1"/>
  <c r="AD184" i="1"/>
  <c r="BB167" i="1"/>
  <c r="AT184" i="1"/>
  <c r="BB184" i="1"/>
  <c r="AD84" i="1"/>
  <c r="AD117" i="1"/>
  <c r="AV132" i="1"/>
  <c r="G182" i="1"/>
  <c r="AM182" i="1"/>
  <c r="O182" i="1"/>
  <c r="AU182" i="1"/>
  <c r="BK182" i="1"/>
  <c r="BS182" i="1"/>
  <c r="BC182" i="1"/>
  <c r="AK167" i="1"/>
  <c r="BQ167" i="1"/>
  <c r="BA167" i="1"/>
  <c r="BA184" i="1"/>
  <c r="BQ184" i="1"/>
  <c r="AK184" i="1"/>
  <c r="AC280" i="1"/>
  <c r="AC164" i="1"/>
  <c r="M164" i="1"/>
  <c r="AC181" i="1"/>
  <c r="E164" i="1"/>
  <c r="E181" i="1"/>
  <c r="U181" i="1"/>
  <c r="U164" i="1"/>
  <c r="M181" i="1"/>
  <c r="W274" i="1"/>
  <c r="W279" i="1" s="1"/>
  <c r="L170" i="1"/>
  <c r="AJ170" i="1"/>
  <c r="BR164" i="1"/>
  <c r="BJ181" i="1"/>
  <c r="BR181" i="1"/>
  <c r="BJ164" i="1"/>
  <c r="BJ169" i="1"/>
  <c r="BJ186" i="1"/>
  <c r="BR186" i="1"/>
  <c r="BR169" i="1"/>
  <c r="BR166" i="1"/>
  <c r="BJ183" i="1"/>
  <c r="BR183" i="1"/>
  <c r="BJ166" i="1"/>
  <c r="G165" i="1"/>
  <c r="AM165" i="1"/>
  <c r="BS165" i="1"/>
  <c r="W165" i="1"/>
  <c r="BC165" i="1"/>
  <c r="AU165" i="1"/>
  <c r="W182" i="1"/>
  <c r="AE182" i="1"/>
  <c r="O165" i="1"/>
  <c r="BK165" i="1"/>
  <c r="AE165" i="1"/>
  <c r="AT169" i="1"/>
  <c r="AD169" i="1"/>
  <c r="BB169" i="1"/>
  <c r="V169" i="1"/>
  <c r="AD186" i="1"/>
  <c r="AL169" i="1"/>
  <c r="AL186" i="1"/>
  <c r="N186" i="1"/>
  <c r="AT186" i="1"/>
  <c r="V186" i="1"/>
  <c r="BB186" i="1"/>
  <c r="BI164" i="1"/>
  <c r="BI181" i="1"/>
  <c r="U169" i="1"/>
  <c r="E169" i="1"/>
  <c r="AC169" i="1"/>
  <c r="E186" i="1"/>
  <c r="M169" i="1"/>
  <c r="M186" i="1"/>
  <c r="U186" i="1"/>
  <c r="AC186" i="1"/>
  <c r="AC168" i="1"/>
  <c r="M168" i="1"/>
  <c r="E185" i="1"/>
  <c r="E168" i="1"/>
  <c r="M185" i="1"/>
  <c r="U185" i="1"/>
  <c r="AC185" i="1"/>
  <c r="U168" i="1"/>
  <c r="AD151" i="1"/>
  <c r="X134" i="1"/>
  <c r="G84" i="1"/>
  <c r="P101" i="1"/>
  <c r="P117" i="1"/>
  <c r="G151" i="1"/>
  <c r="AD134" i="1"/>
  <c r="G134" i="1"/>
  <c r="M166" i="1"/>
  <c r="AC166" i="1"/>
  <c r="U183" i="1"/>
  <c r="U166" i="1"/>
  <c r="E183" i="1"/>
  <c r="M183" i="1"/>
  <c r="AC183" i="1"/>
  <c r="E166" i="1"/>
  <c r="V274" i="1"/>
  <c r="V279" i="1" s="1"/>
  <c r="O209" i="1"/>
  <c r="W167" i="1"/>
  <c r="BC167" i="1"/>
  <c r="G167" i="1"/>
  <c r="AM167" i="1"/>
  <c r="BS167" i="1"/>
  <c r="AE167" i="1"/>
  <c r="AE184" i="1"/>
  <c r="BK167" i="1"/>
  <c r="AU167" i="1"/>
  <c r="W184" i="1"/>
  <c r="O167" i="1"/>
  <c r="AE83" i="1"/>
  <c r="P167" i="1"/>
  <c r="AV167" i="1"/>
  <c r="AF167" i="1"/>
  <c r="BL167" i="1"/>
  <c r="BD167" i="1"/>
  <c r="X184" i="1"/>
  <c r="BD184" i="1"/>
  <c r="X167" i="1"/>
  <c r="BT167" i="1"/>
  <c r="BL184" i="1"/>
  <c r="BT184" i="1"/>
  <c r="AF184" i="1"/>
  <c r="AN184" i="1"/>
  <c r="AV184" i="1"/>
  <c r="H167" i="1"/>
  <c r="H184" i="1"/>
  <c r="P184" i="1"/>
  <c r="AN167" i="1"/>
  <c r="AT165" i="1"/>
  <c r="AD165" i="1"/>
  <c r="N182" i="1"/>
  <c r="V165" i="1"/>
  <c r="BB182" i="1"/>
  <c r="BB165" i="1"/>
  <c r="AL165" i="1"/>
  <c r="AD182" i="1"/>
  <c r="AT182" i="1"/>
  <c r="V182" i="1"/>
  <c r="AL182" i="1"/>
  <c r="P84" i="1"/>
  <c r="X101" i="1"/>
  <c r="P151" i="1"/>
  <c r="AV82" i="1"/>
  <c r="AF169" i="1"/>
  <c r="BL169" i="1"/>
  <c r="P169" i="1"/>
  <c r="AV169" i="1"/>
  <c r="AN169" i="1"/>
  <c r="H169" i="1"/>
  <c r="BT169" i="1"/>
  <c r="BD169" i="1"/>
  <c r="P186" i="1"/>
  <c r="AV186" i="1"/>
  <c r="X186" i="1"/>
  <c r="BD186" i="1"/>
  <c r="AF186" i="1"/>
  <c r="BL186" i="1"/>
  <c r="X169" i="1"/>
  <c r="H186" i="1"/>
  <c r="AN186" i="1"/>
  <c r="BT186" i="1"/>
  <c r="AK168" i="1"/>
  <c r="AK185" i="1"/>
  <c r="BQ185" i="1"/>
  <c r="BQ168" i="1"/>
  <c r="BA168" i="1"/>
  <c r="BA185" i="1"/>
  <c r="E167" i="1"/>
  <c r="U167" i="1"/>
  <c r="M184" i="1"/>
  <c r="M167" i="1"/>
  <c r="E184" i="1"/>
  <c r="AC167" i="1"/>
  <c r="U184" i="1"/>
  <c r="AC184" i="1"/>
  <c r="H147" i="1"/>
  <c r="O97" i="1"/>
  <c r="H80" i="1"/>
  <c r="O130" i="1"/>
  <c r="H97" i="1"/>
  <c r="O114" i="1"/>
  <c r="O98" i="1"/>
  <c r="H148" i="1"/>
  <c r="H114" i="1"/>
  <c r="O81" i="1"/>
  <c r="D164" i="1"/>
  <c r="T164" i="1"/>
  <c r="AS164" i="1"/>
  <c r="D181" i="1"/>
  <c r="T181" i="1"/>
  <c r="AS181" i="1"/>
  <c r="D169" i="1"/>
  <c r="T186" i="1"/>
  <c r="AS186" i="1"/>
  <c r="T169" i="1"/>
  <c r="AS169" i="1"/>
  <c r="D186" i="1"/>
  <c r="AL166" i="1"/>
  <c r="V166" i="1"/>
  <c r="BB166" i="1"/>
  <c r="N183" i="1"/>
  <c r="AT183" i="1"/>
  <c r="AT166" i="1"/>
  <c r="BB183" i="1"/>
  <c r="AD166" i="1"/>
  <c r="AD183" i="1"/>
  <c r="AL183" i="1"/>
  <c r="V183" i="1"/>
  <c r="F168" i="1"/>
  <c r="N168" i="1"/>
  <c r="F185" i="1"/>
  <c r="BA166" i="1"/>
  <c r="BA183" i="1"/>
  <c r="BQ166" i="1"/>
  <c r="BQ183" i="1"/>
  <c r="AK183" i="1"/>
  <c r="AK166" i="1"/>
  <c r="BI166" i="1"/>
  <c r="BI183" i="1"/>
  <c r="N169" i="1"/>
  <c r="F169" i="1"/>
  <c r="F186" i="1"/>
  <c r="T167" i="1"/>
  <c r="AS167" i="1"/>
  <c r="T184" i="1"/>
  <c r="AS184" i="1"/>
  <c r="D167" i="1"/>
  <c r="D184" i="1"/>
  <c r="AB187" i="1"/>
  <c r="T166" i="1"/>
  <c r="AS166" i="1"/>
  <c r="D166" i="1"/>
  <c r="D183" i="1"/>
  <c r="AS183" i="1"/>
  <c r="T183" i="1"/>
  <c r="L187" i="1"/>
  <c r="BJ167" i="1"/>
  <c r="BR167" i="1"/>
  <c r="BR184" i="1"/>
  <c r="BJ184" i="1"/>
  <c r="X81" i="1"/>
  <c r="AD98" i="1"/>
  <c r="X98" i="1"/>
  <c r="P114" i="1"/>
  <c r="BC185" i="1"/>
  <c r="BK185" i="1"/>
  <c r="BS185" i="1"/>
  <c r="AM185" i="1"/>
  <c r="AU185" i="1"/>
  <c r="G185" i="1"/>
  <c r="O185" i="1"/>
  <c r="AS149" i="1"/>
  <c r="M149" i="1"/>
  <c r="AK149" i="1"/>
  <c r="BR168" i="1"/>
  <c r="BJ168" i="1"/>
  <c r="BJ185" i="1"/>
  <c r="BR185" i="1"/>
  <c r="BI167" i="1"/>
  <c r="BI184" i="1"/>
  <c r="BA169" i="1"/>
  <c r="AK169" i="1"/>
  <c r="BQ169" i="1"/>
  <c r="AK186" i="1"/>
  <c r="BQ186" i="1"/>
  <c r="BA186" i="1"/>
  <c r="E99" i="1"/>
  <c r="N167" i="1"/>
  <c r="F167" i="1"/>
  <c r="F184" i="1"/>
  <c r="BC186" i="1"/>
  <c r="BK186" i="1"/>
  <c r="G186" i="1"/>
  <c r="AM186" i="1"/>
  <c r="BS186" i="1"/>
  <c r="O186" i="1"/>
  <c r="AU186" i="1"/>
  <c r="G183" i="1"/>
  <c r="AM183" i="1"/>
  <c r="BS183" i="1"/>
  <c r="O183" i="1"/>
  <c r="AU183" i="1"/>
  <c r="BC183" i="1"/>
  <c r="BK183" i="1"/>
  <c r="N165" i="1"/>
  <c r="F182" i="1"/>
  <c r="F165" i="1"/>
  <c r="H164" i="1"/>
  <c r="AN164" i="1"/>
  <c r="BT164" i="1"/>
  <c r="X164" i="1"/>
  <c r="BD164" i="1"/>
  <c r="H181" i="1"/>
  <c r="AN181" i="1"/>
  <c r="BT181" i="1"/>
  <c r="P164" i="1"/>
  <c r="AV164" i="1"/>
  <c r="AV181" i="1"/>
  <c r="BD181" i="1"/>
  <c r="BL181" i="1"/>
  <c r="AF164" i="1"/>
  <c r="P181" i="1"/>
  <c r="AF181" i="1"/>
  <c r="BL164" i="1"/>
  <c r="X181" i="1"/>
  <c r="E133" i="1"/>
  <c r="AC297" i="1"/>
  <c r="BA165" i="1"/>
  <c r="AK165" i="1"/>
  <c r="BQ165" i="1"/>
  <c r="AK182" i="1"/>
  <c r="BA182" i="1"/>
  <c r="BQ182" i="1"/>
  <c r="O164" i="1"/>
  <c r="AU164" i="1"/>
  <c r="AE164" i="1"/>
  <c r="BK164" i="1"/>
  <c r="BC164" i="1"/>
  <c r="W164" i="1"/>
  <c r="W181" i="1"/>
  <c r="AE181" i="1"/>
  <c r="G164" i="1"/>
  <c r="AM164" i="1"/>
  <c r="BS164" i="1"/>
  <c r="AD135" i="1"/>
  <c r="AD118" i="1"/>
  <c r="AD102" i="1"/>
  <c r="P118" i="1"/>
  <c r="P102" i="1"/>
  <c r="G152" i="1"/>
  <c r="P85" i="1"/>
  <c r="AD152" i="1"/>
  <c r="AD85" i="1"/>
  <c r="X152" i="1"/>
  <c r="X118" i="1"/>
  <c r="G118" i="1"/>
  <c r="G85" i="1"/>
  <c r="X85" i="1"/>
  <c r="P152" i="1"/>
  <c r="G135" i="1"/>
  <c r="X135" i="1"/>
  <c r="G102" i="1"/>
  <c r="X102" i="1"/>
  <c r="D165" i="1"/>
  <c r="D182" i="1"/>
  <c r="T182" i="1"/>
  <c r="AS182" i="1"/>
  <c r="T165" i="1"/>
  <c r="AS165" i="1"/>
  <c r="AB170" i="1"/>
  <c r="AJ187" i="1"/>
  <c r="AL83" i="1"/>
  <c r="AL100" i="1"/>
  <c r="AE150" i="1"/>
  <c r="AE133" i="1"/>
  <c r="L152" i="1"/>
  <c r="D152" i="1"/>
  <c r="W116" i="1"/>
  <c r="W100" i="1"/>
  <c r="AL116" i="1"/>
  <c r="AT150" i="1"/>
  <c r="O82" i="1"/>
  <c r="H115" i="1"/>
  <c r="O149" i="1"/>
  <c r="AU130" i="1"/>
  <c r="AC133" i="1"/>
  <c r="M133" i="1"/>
  <c r="AK150" i="1"/>
  <c r="AS204" i="1"/>
  <c r="AB152" i="1"/>
  <c r="AJ152" i="1"/>
  <c r="AC276" i="1"/>
  <c r="AC277" i="1"/>
  <c r="AA308" i="1"/>
  <c r="W83" i="1"/>
  <c r="M209" i="1"/>
  <c r="AE116" i="1"/>
  <c r="AT83" i="1"/>
  <c r="W150" i="1"/>
  <c r="AT116" i="1"/>
  <c r="W133" i="1"/>
  <c r="AU204" i="1"/>
  <c r="AC290" i="1"/>
  <c r="O115" i="1"/>
  <c r="U133" i="1"/>
  <c r="M150" i="1"/>
  <c r="AS133" i="1"/>
  <c r="AS150" i="1"/>
  <c r="AR152" i="1"/>
  <c r="AC99" i="1"/>
  <c r="X274" i="1"/>
  <c r="U115" i="1"/>
  <c r="M99" i="1"/>
  <c r="AS115" i="1"/>
  <c r="AU80" i="1"/>
  <c r="AU147" i="1"/>
  <c r="AK99" i="1"/>
  <c r="E115" i="1"/>
  <c r="S209" i="1"/>
  <c r="AU113" i="1"/>
  <c r="X15" i="1"/>
  <c r="Y15" i="1" s="1"/>
  <c r="V27" i="1" s="1"/>
  <c r="Y5" i="1"/>
  <c r="Z5" i="1" s="1"/>
  <c r="Y6" i="1"/>
  <c r="Z6" i="1" s="1"/>
  <c r="AV206" i="1"/>
  <c r="AF152" i="1"/>
  <c r="AM152" i="1"/>
  <c r="AM135" i="1"/>
  <c r="AF135" i="1"/>
  <c r="AM118" i="1"/>
  <c r="AF118" i="1"/>
  <c r="AF85" i="1"/>
  <c r="AF102" i="1"/>
  <c r="AM85" i="1"/>
  <c r="AM102" i="1"/>
  <c r="AU150" i="1"/>
  <c r="AU116" i="1"/>
  <c r="AU100" i="1"/>
  <c r="AU83" i="1"/>
  <c r="AU133" i="1"/>
  <c r="O150" i="1"/>
  <c r="H150" i="1"/>
  <c r="O133" i="1"/>
  <c r="O116" i="1"/>
  <c r="H116" i="1"/>
  <c r="H133" i="1"/>
  <c r="O100" i="1"/>
  <c r="O83" i="1"/>
  <c r="H83" i="1"/>
  <c r="H100" i="1"/>
  <c r="AN134" i="1"/>
  <c r="AN151" i="1"/>
  <c r="AV151" i="1"/>
  <c r="AV134" i="1"/>
  <c r="AV117" i="1"/>
  <c r="AN117" i="1"/>
  <c r="AN101" i="1"/>
  <c r="AN84" i="1"/>
  <c r="AV84" i="1"/>
  <c r="AV101" i="1"/>
  <c r="AC84" i="1"/>
  <c r="AS84" i="1"/>
  <c r="AK84" i="1"/>
  <c r="E84" i="1"/>
  <c r="U84" i="1"/>
  <c r="M84" i="1"/>
  <c r="AB295" i="1"/>
  <c r="AD295" i="1" s="1"/>
  <c r="Z295" i="1"/>
  <c r="C209" i="1"/>
  <c r="AJ97" i="1"/>
  <c r="D97" i="1"/>
  <c r="AB80" i="1"/>
  <c r="AB97" i="1"/>
  <c r="T97" i="1"/>
  <c r="L97" i="1"/>
  <c r="AR80" i="1"/>
  <c r="L80" i="1"/>
  <c r="T80" i="1"/>
  <c r="AJ80" i="1"/>
  <c r="D80" i="1"/>
  <c r="AR97" i="1"/>
  <c r="AJ150" i="1"/>
  <c r="D150" i="1"/>
  <c r="AB150" i="1"/>
  <c r="T150" i="1"/>
  <c r="L150" i="1"/>
  <c r="AR150" i="1"/>
  <c r="AU206" i="1"/>
  <c r="AE152" i="1"/>
  <c r="W152" i="1"/>
  <c r="AL135" i="1"/>
  <c r="AE135" i="1"/>
  <c r="AL152" i="1"/>
  <c r="W135" i="1"/>
  <c r="AT152" i="1"/>
  <c r="AT135" i="1"/>
  <c r="AE118" i="1"/>
  <c r="W118" i="1"/>
  <c r="AL102" i="1"/>
  <c r="AE102" i="1"/>
  <c r="AL85" i="1"/>
  <c r="AE85" i="1"/>
  <c r="AT102" i="1"/>
  <c r="AT85" i="1"/>
  <c r="AT118" i="1"/>
  <c r="W85" i="1"/>
  <c r="W102" i="1"/>
  <c r="AL118" i="1"/>
  <c r="AB148" i="1"/>
  <c r="T148" i="1"/>
  <c r="AJ148" i="1"/>
  <c r="D148" i="1"/>
  <c r="L148" i="1"/>
  <c r="AR148" i="1"/>
  <c r="Z314" i="1"/>
  <c r="AC314" i="1" s="1"/>
  <c r="Z312" i="1"/>
  <c r="AC312" i="1" s="1"/>
  <c r="AD136" i="1"/>
  <c r="P209" i="1"/>
  <c r="AV201" i="1"/>
  <c r="AF147" i="1"/>
  <c r="AM147" i="1"/>
  <c r="AM130" i="1"/>
  <c r="AM113" i="1"/>
  <c r="AF130" i="1"/>
  <c r="AM97" i="1"/>
  <c r="AM80" i="1"/>
  <c r="AF80" i="1"/>
  <c r="AF113" i="1"/>
  <c r="AF97" i="1"/>
  <c r="AK83" i="1"/>
  <c r="E83" i="1"/>
  <c r="U83" i="1"/>
  <c r="AC83" i="1"/>
  <c r="AS83" i="1"/>
  <c r="M83" i="1"/>
  <c r="O152" i="1"/>
  <c r="H152" i="1"/>
  <c r="O118" i="1"/>
  <c r="H118" i="1"/>
  <c r="H135" i="1"/>
  <c r="H85" i="1"/>
  <c r="H102" i="1"/>
  <c r="O85" i="1"/>
  <c r="O102" i="1"/>
  <c r="O135" i="1"/>
  <c r="AS205" i="1"/>
  <c r="AS151" i="1"/>
  <c r="M151" i="1"/>
  <c r="E151" i="1"/>
  <c r="AK151" i="1"/>
  <c r="AC151" i="1"/>
  <c r="U151" i="1"/>
  <c r="AC134" i="1"/>
  <c r="AS134" i="1"/>
  <c r="AK134" i="1"/>
  <c r="E134" i="1"/>
  <c r="M134" i="1"/>
  <c r="U134" i="1"/>
  <c r="V149" i="1"/>
  <c r="V132" i="1"/>
  <c r="V115" i="1"/>
  <c r="N115" i="1"/>
  <c r="V99" i="1"/>
  <c r="N82" i="1"/>
  <c r="N149" i="1"/>
  <c r="N132" i="1"/>
  <c r="N99" i="1"/>
  <c r="V82" i="1"/>
  <c r="AU151" i="1"/>
  <c r="AU134" i="1"/>
  <c r="AU101" i="1"/>
  <c r="AU84" i="1"/>
  <c r="AU117" i="1"/>
  <c r="Y8" i="1"/>
  <c r="Y13" i="1"/>
  <c r="Y7" i="1"/>
  <c r="Z7" i="1" s="1"/>
  <c r="Y12" i="1"/>
  <c r="AA295" i="1"/>
  <c r="AN150" i="1"/>
  <c r="AV133" i="1"/>
  <c r="AN133" i="1"/>
  <c r="AN116" i="1"/>
  <c r="AV150" i="1"/>
  <c r="AV100" i="1"/>
  <c r="AN100" i="1"/>
  <c r="AV83" i="1"/>
  <c r="AN83" i="1"/>
  <c r="AV116" i="1"/>
  <c r="AT206" i="1"/>
  <c r="AV205" i="1"/>
  <c r="AM151" i="1"/>
  <c r="AF151" i="1"/>
  <c r="AF117" i="1"/>
  <c r="AF134" i="1"/>
  <c r="AM84" i="1"/>
  <c r="AM134" i="1"/>
  <c r="AM117" i="1"/>
  <c r="AM101" i="1"/>
  <c r="AF101" i="1"/>
  <c r="AF84" i="1"/>
  <c r="AA314" i="1"/>
  <c r="E209" i="1"/>
  <c r="AS113" i="1"/>
  <c r="M113" i="1"/>
  <c r="E113" i="1"/>
  <c r="AC97" i="1"/>
  <c r="AS97" i="1"/>
  <c r="AK97" i="1"/>
  <c r="AK113" i="1"/>
  <c r="U113" i="1"/>
  <c r="U97" i="1"/>
  <c r="M97" i="1"/>
  <c r="E97" i="1"/>
  <c r="AC113" i="1"/>
  <c r="AA312" i="1"/>
  <c r="AN147" i="1"/>
  <c r="AV147" i="1"/>
  <c r="AV130" i="1"/>
  <c r="AN97" i="1"/>
  <c r="AN113" i="1"/>
  <c r="AV97" i="1"/>
  <c r="AV113" i="1"/>
  <c r="AV80" i="1"/>
  <c r="U209" i="1"/>
  <c r="AN130" i="1"/>
  <c r="AN80" i="1"/>
  <c r="T102" i="1"/>
  <c r="T85" i="1"/>
  <c r="AR102" i="1"/>
  <c r="AJ102" i="1"/>
  <c r="AB102" i="1"/>
  <c r="L102" i="1"/>
  <c r="D102" i="1"/>
  <c r="AR85" i="1"/>
  <c r="AJ85" i="1"/>
  <c r="D85" i="1"/>
  <c r="AB85" i="1"/>
  <c r="L85" i="1"/>
  <c r="N148" i="1"/>
  <c r="V148" i="1"/>
  <c r="V131" i="1"/>
  <c r="V114" i="1"/>
  <c r="V98" i="1"/>
  <c r="N98" i="1"/>
  <c r="N81" i="1"/>
  <c r="N131" i="1"/>
  <c r="V81" i="1"/>
  <c r="N114" i="1"/>
  <c r="Z281" i="1"/>
  <c r="T100" i="1"/>
  <c r="AR83" i="1"/>
  <c r="L83" i="1"/>
  <c r="L100" i="1"/>
  <c r="D100" i="1"/>
  <c r="AB83" i="1"/>
  <c r="AJ83" i="1"/>
  <c r="D83" i="1"/>
  <c r="AB100" i="1"/>
  <c r="T83" i="1"/>
  <c r="AR100" i="1"/>
  <c r="AJ100" i="1"/>
  <c r="AK81" i="1"/>
  <c r="E81" i="1"/>
  <c r="U81" i="1"/>
  <c r="AC81" i="1"/>
  <c r="AS81" i="1"/>
  <c r="M81" i="1"/>
  <c r="AU149" i="1"/>
  <c r="AU132" i="1"/>
  <c r="AU115" i="1"/>
  <c r="AU99" i="1"/>
  <c r="AU82" i="1"/>
  <c r="AR136" i="1"/>
  <c r="AC116" i="1"/>
  <c r="U116" i="1"/>
  <c r="M116" i="1"/>
  <c r="E116" i="1"/>
  <c r="AS100" i="1"/>
  <c r="M100" i="1"/>
  <c r="AS116" i="1"/>
  <c r="AK116" i="1"/>
  <c r="AK100" i="1"/>
  <c r="AC100" i="1"/>
  <c r="U100" i="1"/>
  <c r="E100" i="1"/>
  <c r="V152" i="1"/>
  <c r="N152" i="1"/>
  <c r="V135" i="1"/>
  <c r="N135" i="1"/>
  <c r="V118" i="1"/>
  <c r="N118" i="1"/>
  <c r="V102" i="1"/>
  <c r="N102" i="1"/>
  <c r="V85" i="1"/>
  <c r="N85" i="1"/>
  <c r="AT202" i="1"/>
  <c r="Z9" i="1"/>
  <c r="V23" i="1"/>
  <c r="X315" i="1" s="1"/>
  <c r="R209" i="1"/>
  <c r="V147" i="1"/>
  <c r="N147" i="1"/>
  <c r="V130" i="1"/>
  <c r="N130" i="1"/>
  <c r="V113" i="1"/>
  <c r="N113" i="1"/>
  <c r="V97" i="1"/>
  <c r="N97" i="1"/>
  <c r="N80" i="1"/>
  <c r="V80" i="1"/>
  <c r="AU203" i="1"/>
  <c r="W149" i="1"/>
  <c r="AL149" i="1"/>
  <c r="AT132" i="1"/>
  <c r="AL132" i="1"/>
  <c r="AL115" i="1"/>
  <c r="AE115" i="1"/>
  <c r="AE149" i="1"/>
  <c r="AT149" i="1"/>
  <c r="AE132" i="1"/>
  <c r="W115" i="1"/>
  <c r="AT99" i="1"/>
  <c r="AL99" i="1"/>
  <c r="AT82" i="1"/>
  <c r="W82" i="1"/>
  <c r="W132" i="1"/>
  <c r="AL82" i="1"/>
  <c r="AE82" i="1"/>
  <c r="AT115" i="1"/>
  <c r="AE99" i="1"/>
  <c r="W99" i="1"/>
  <c r="AT203" i="1"/>
  <c r="Z310" i="1"/>
  <c r="T209" i="1"/>
  <c r="AN152" i="1"/>
  <c r="AV152" i="1"/>
  <c r="AN118" i="1"/>
  <c r="AV118" i="1"/>
  <c r="AV135" i="1"/>
  <c r="AV85" i="1"/>
  <c r="AN85" i="1"/>
  <c r="AN102" i="1"/>
  <c r="AN135" i="1"/>
  <c r="AV102" i="1"/>
  <c r="AJ101" i="1"/>
  <c r="D101" i="1"/>
  <c r="AJ84" i="1"/>
  <c r="AB101" i="1"/>
  <c r="T101" i="1"/>
  <c r="L101" i="1"/>
  <c r="AB84" i="1"/>
  <c r="T84" i="1"/>
  <c r="L84" i="1"/>
  <c r="AR101" i="1"/>
  <c r="AR84" i="1"/>
  <c r="D84" i="1"/>
  <c r="T98" i="1"/>
  <c r="AR98" i="1"/>
  <c r="AJ98" i="1"/>
  <c r="AB98" i="1"/>
  <c r="AR81" i="1"/>
  <c r="L81" i="1"/>
  <c r="AB81" i="1"/>
  <c r="AJ81" i="1"/>
  <c r="D81" i="1"/>
  <c r="T81" i="1"/>
  <c r="L98" i="1"/>
  <c r="D98" i="1"/>
  <c r="AV203" i="1"/>
  <c r="AF149" i="1"/>
  <c r="AF132" i="1"/>
  <c r="AM132" i="1"/>
  <c r="AM115" i="1"/>
  <c r="AM82" i="1"/>
  <c r="AF82" i="1"/>
  <c r="AF115" i="1"/>
  <c r="AF99" i="1"/>
  <c r="AM149" i="1"/>
  <c r="AM99" i="1"/>
  <c r="X279" i="1"/>
  <c r="AB310" i="1"/>
  <c r="AD310" i="1" s="1"/>
  <c r="D209" i="1"/>
  <c r="U80" i="1"/>
  <c r="AK80" i="1"/>
  <c r="E80" i="1"/>
  <c r="AS80" i="1"/>
  <c r="M80" i="1"/>
  <c r="AC80" i="1"/>
  <c r="V150" i="1"/>
  <c r="V116" i="1"/>
  <c r="N150" i="1"/>
  <c r="N133" i="1"/>
  <c r="V133" i="1"/>
  <c r="N83" i="1"/>
  <c r="V100" i="1"/>
  <c r="N100" i="1"/>
  <c r="V83" i="1"/>
  <c r="N116" i="1"/>
  <c r="AS85" i="1"/>
  <c r="M85" i="1"/>
  <c r="AK85" i="1"/>
  <c r="AC85" i="1"/>
  <c r="E85" i="1"/>
  <c r="U85" i="1"/>
  <c r="AU205" i="1"/>
  <c r="AL151" i="1"/>
  <c r="AE151" i="1"/>
  <c r="AT151" i="1"/>
  <c r="W151" i="1"/>
  <c r="AL117" i="1"/>
  <c r="AE117" i="1"/>
  <c r="AL134" i="1"/>
  <c r="W117" i="1"/>
  <c r="AT117" i="1"/>
  <c r="W134" i="1"/>
  <c r="AE84" i="1"/>
  <c r="W84" i="1"/>
  <c r="AE101" i="1"/>
  <c r="W101" i="1"/>
  <c r="AT134" i="1"/>
  <c r="AT84" i="1"/>
  <c r="AL84" i="1"/>
  <c r="AT101" i="1"/>
  <c r="AE134" i="1"/>
  <c r="AL101" i="1"/>
  <c r="U82" i="1"/>
  <c r="AK82" i="1"/>
  <c r="E82" i="1"/>
  <c r="AS82" i="1"/>
  <c r="M82" i="1"/>
  <c r="AC82" i="1"/>
  <c r="AU148" i="1"/>
  <c r="AU114" i="1"/>
  <c r="AU131" i="1"/>
  <c r="AU98" i="1"/>
  <c r="AU81" i="1"/>
  <c r="AC305" i="1"/>
  <c r="G209" i="1"/>
  <c r="AT201" i="1"/>
  <c r="AV204" i="1"/>
  <c r="AF150" i="1"/>
  <c r="AF133" i="1"/>
  <c r="AM133" i="1"/>
  <c r="AM150" i="1"/>
  <c r="AF116" i="1"/>
  <c r="AF100" i="1"/>
  <c r="AM83" i="1"/>
  <c r="AF83" i="1"/>
  <c r="AM116" i="1"/>
  <c r="AM100" i="1"/>
  <c r="AT204" i="1"/>
  <c r="Z308" i="1"/>
  <c r="AC308" i="1" s="1"/>
  <c r="I209" i="1"/>
  <c r="AS201" i="1"/>
  <c r="AC147" i="1"/>
  <c r="U147" i="1"/>
  <c r="M147" i="1"/>
  <c r="E147" i="1"/>
  <c r="AS130" i="1"/>
  <c r="M130" i="1"/>
  <c r="E130" i="1"/>
  <c r="AK147" i="1"/>
  <c r="AK130" i="1"/>
  <c r="U130" i="1"/>
  <c r="AS147" i="1"/>
  <c r="AC130" i="1"/>
  <c r="AS206" i="1"/>
  <c r="AC152" i="1"/>
  <c r="AS135" i="1"/>
  <c r="M135" i="1"/>
  <c r="AS152" i="1"/>
  <c r="E135" i="1"/>
  <c r="AK152" i="1"/>
  <c r="U152" i="1"/>
  <c r="E152" i="1"/>
  <c r="M152" i="1"/>
  <c r="AK135" i="1"/>
  <c r="AC135" i="1"/>
  <c r="U135" i="1"/>
  <c r="AU202" i="1"/>
  <c r="AT148" i="1"/>
  <c r="AL148" i="1"/>
  <c r="AE148" i="1"/>
  <c r="AL131" i="1"/>
  <c r="W148" i="1"/>
  <c r="AT131" i="1"/>
  <c r="W131" i="1"/>
  <c r="AT114" i="1"/>
  <c r="AL114" i="1"/>
  <c r="AL98" i="1"/>
  <c r="AE98" i="1"/>
  <c r="W81" i="1"/>
  <c r="AE131" i="1"/>
  <c r="AT81" i="1"/>
  <c r="W114" i="1"/>
  <c r="W98" i="1"/>
  <c r="AT98" i="1"/>
  <c r="AL81" i="1"/>
  <c r="AE114" i="1"/>
  <c r="AE81" i="1"/>
  <c r="T151" i="1"/>
  <c r="L151" i="1"/>
  <c r="D151" i="1"/>
  <c r="AJ151" i="1"/>
  <c r="AB151" i="1"/>
  <c r="AR151" i="1"/>
  <c r="Z306" i="1"/>
  <c r="AC306" i="1" s="1"/>
  <c r="L209" i="1"/>
  <c r="Q209" i="1"/>
  <c r="AC118" i="1"/>
  <c r="AS118" i="1"/>
  <c r="AK118" i="1"/>
  <c r="AS102" i="1"/>
  <c r="M102" i="1"/>
  <c r="AK102" i="1"/>
  <c r="AC102" i="1"/>
  <c r="E102" i="1"/>
  <c r="M118" i="1"/>
  <c r="U102" i="1"/>
  <c r="U118" i="1"/>
  <c r="E118" i="1"/>
  <c r="AS117" i="1"/>
  <c r="M117" i="1"/>
  <c r="AK117" i="1"/>
  <c r="AC117" i="1"/>
  <c r="U117" i="1"/>
  <c r="AC101" i="1"/>
  <c r="AS101" i="1"/>
  <c r="AK101" i="1"/>
  <c r="E117" i="1"/>
  <c r="M101" i="1"/>
  <c r="E101" i="1"/>
  <c r="U101" i="1"/>
  <c r="AJ99" i="1"/>
  <c r="D99" i="1"/>
  <c r="AB82" i="1"/>
  <c r="AR99" i="1"/>
  <c r="AR82" i="1"/>
  <c r="L82" i="1"/>
  <c r="AB99" i="1"/>
  <c r="T99" i="1"/>
  <c r="L99" i="1"/>
  <c r="T82" i="1"/>
  <c r="AJ82" i="1"/>
  <c r="D82" i="1"/>
  <c r="AV202" i="1"/>
  <c r="AM148" i="1"/>
  <c r="AF148" i="1"/>
  <c r="AF131" i="1"/>
  <c r="AF114" i="1"/>
  <c r="AM98" i="1"/>
  <c r="AM81" i="1"/>
  <c r="AF81" i="1"/>
  <c r="AM131" i="1"/>
  <c r="AM114" i="1"/>
  <c r="AF98" i="1"/>
  <c r="H209" i="1"/>
  <c r="AA306" i="1"/>
  <c r="AJ136" i="1" l="1"/>
  <c r="T119" i="1"/>
  <c r="AZ170" i="1"/>
  <c r="BP170" i="1"/>
  <c r="AB119" i="1"/>
  <c r="BH170" i="1"/>
  <c r="G119" i="1"/>
  <c r="F136" i="1"/>
  <c r="D136" i="1"/>
  <c r="T136" i="1"/>
  <c r="AB136" i="1"/>
  <c r="AR207" i="1"/>
  <c r="F86" i="1"/>
  <c r="G153" i="1"/>
  <c r="G103" i="1"/>
  <c r="F153" i="1"/>
  <c r="BL170" i="1"/>
  <c r="AR119" i="1"/>
  <c r="AC304" i="1"/>
  <c r="F103" i="1"/>
  <c r="L136" i="1"/>
  <c r="X119" i="1"/>
  <c r="AZ187" i="1"/>
  <c r="G136" i="1"/>
  <c r="P103" i="1"/>
  <c r="D119" i="1"/>
  <c r="BH187" i="1"/>
  <c r="P86" i="1"/>
  <c r="AD103" i="1"/>
  <c r="P153" i="1"/>
  <c r="AD119" i="1"/>
  <c r="AD153" i="1"/>
  <c r="AM187" i="1"/>
  <c r="AD86" i="1"/>
  <c r="AI188" i="1" a="1"/>
  <c r="AN190" i="1" s="1"/>
  <c r="X153" i="1"/>
  <c r="BK187" i="1"/>
  <c r="O103" i="1"/>
  <c r="O187" i="1"/>
  <c r="BC187" i="1"/>
  <c r="X86" i="1"/>
  <c r="Y274" i="1"/>
  <c r="Z274" i="1" s="1"/>
  <c r="W187" i="1"/>
  <c r="BL187" i="1"/>
  <c r="BD170" i="1"/>
  <c r="BS187" i="1"/>
  <c r="N170" i="1"/>
  <c r="P119" i="1"/>
  <c r="AQ188" i="1" a="1"/>
  <c r="AR193" i="1" s="1"/>
  <c r="AI171" i="1" a="1"/>
  <c r="AM173" i="1" s="1"/>
  <c r="AA171" i="1" a="1"/>
  <c r="AF171" i="1" s="1"/>
  <c r="AC281" i="1"/>
  <c r="X136" i="1"/>
  <c r="F170" i="1"/>
  <c r="X103" i="1"/>
  <c r="G86" i="1"/>
  <c r="BO171" i="1" a="1"/>
  <c r="BO175" i="1" s="1"/>
  <c r="AE170" i="1"/>
  <c r="P170" i="1"/>
  <c r="H170" i="1"/>
  <c r="AT136" i="1"/>
  <c r="BC170" i="1"/>
  <c r="O170" i="1"/>
  <c r="P187" i="1"/>
  <c r="AV187" i="1"/>
  <c r="AN187" i="1"/>
  <c r="BT170" i="1"/>
  <c r="F187" i="1"/>
  <c r="AU187" i="1"/>
  <c r="G187" i="1"/>
  <c r="T187" i="1"/>
  <c r="C188" i="1" a="1"/>
  <c r="D187" i="1"/>
  <c r="G170" i="1"/>
  <c r="BR170" i="1"/>
  <c r="U170" i="1"/>
  <c r="AC187" i="1"/>
  <c r="BQ187" i="1"/>
  <c r="BQ170" i="1"/>
  <c r="AT187" i="1"/>
  <c r="N187" i="1"/>
  <c r="AL170" i="1"/>
  <c r="T153" i="1"/>
  <c r="AL103" i="1"/>
  <c r="V136" i="1"/>
  <c r="AU136" i="1"/>
  <c r="O86" i="1"/>
  <c r="H119" i="1"/>
  <c r="BG188" i="1" a="1"/>
  <c r="AE187" i="1"/>
  <c r="BK170" i="1"/>
  <c r="X187" i="1"/>
  <c r="AF170" i="1"/>
  <c r="AV170" i="1"/>
  <c r="H187" i="1"/>
  <c r="AN170" i="1"/>
  <c r="AS170" i="1"/>
  <c r="AA188" i="1" a="1"/>
  <c r="AC170" i="1"/>
  <c r="BI187" i="1"/>
  <c r="BJ170" i="1"/>
  <c r="U187" i="1"/>
  <c r="M170" i="1"/>
  <c r="AK170" i="1"/>
  <c r="AD187" i="1"/>
  <c r="AD170" i="1"/>
  <c r="BB170" i="1"/>
  <c r="K137" i="1" a="1"/>
  <c r="M140" i="1" s="1"/>
  <c r="AV153" i="1"/>
  <c r="K188" i="1" a="1"/>
  <c r="BG171" i="1" a="1"/>
  <c r="AS187" i="1"/>
  <c r="S171" i="1" a="1"/>
  <c r="T170" i="1"/>
  <c r="BS170" i="1"/>
  <c r="AY171" i="1" a="1"/>
  <c r="BR187" i="1"/>
  <c r="E187" i="1"/>
  <c r="BA187" i="1"/>
  <c r="AT170" i="1"/>
  <c r="BB187" i="1"/>
  <c r="V170" i="1"/>
  <c r="AE103" i="1"/>
  <c r="W136" i="1"/>
  <c r="O136" i="1"/>
  <c r="H153" i="1"/>
  <c r="AQ171" i="1" a="1"/>
  <c r="W170" i="1"/>
  <c r="AU170" i="1"/>
  <c r="AF187" i="1"/>
  <c r="BD187" i="1"/>
  <c r="BT187" i="1"/>
  <c r="X170" i="1"/>
  <c r="BI170" i="1"/>
  <c r="S188" i="1" a="1"/>
  <c r="D170" i="1"/>
  <c r="C171" i="1" a="1"/>
  <c r="AM170" i="1"/>
  <c r="AY188" i="1" a="1"/>
  <c r="BJ187" i="1"/>
  <c r="K171" i="1" a="1"/>
  <c r="M187" i="1"/>
  <c r="E170" i="1"/>
  <c r="BO188" i="1" a="1"/>
  <c r="BA170" i="1"/>
  <c r="AK187" i="1"/>
  <c r="AL187" i="1"/>
  <c r="V187" i="1"/>
  <c r="H136" i="1"/>
  <c r="AL153" i="1"/>
  <c r="C137" i="1" a="1"/>
  <c r="E142" i="1" s="1"/>
  <c r="AE136" i="1"/>
  <c r="AT153" i="1"/>
  <c r="C154" i="1" a="1"/>
  <c r="G157" i="1" s="1"/>
  <c r="V119" i="1"/>
  <c r="AN136" i="1"/>
  <c r="AN153" i="1"/>
  <c r="AQ154" i="1" a="1"/>
  <c r="AQ159" i="1" s="1"/>
  <c r="AU103" i="1"/>
  <c r="AU153" i="1"/>
  <c r="L153" i="1"/>
  <c r="AL136" i="1"/>
  <c r="M86" i="1"/>
  <c r="U86" i="1"/>
  <c r="C120" i="1" a="1"/>
  <c r="E124" i="1" s="1"/>
  <c r="AT103" i="1"/>
  <c r="AL119" i="1"/>
  <c r="W153" i="1"/>
  <c r="AU119" i="1"/>
  <c r="AE119" i="1"/>
  <c r="W119" i="1"/>
  <c r="AV86" i="1"/>
  <c r="AB153" i="1"/>
  <c r="AE86" i="1"/>
  <c r="W103" i="1"/>
  <c r="W86" i="1"/>
  <c r="AT119" i="1"/>
  <c r="AU207" i="1"/>
  <c r="AQ137" i="1" a="1"/>
  <c r="AS142" i="1" s="1"/>
  <c r="AC136" i="1"/>
  <c r="AI154" i="1" a="1"/>
  <c r="AM159" i="1" s="1"/>
  <c r="AS207" i="1"/>
  <c r="AU86" i="1"/>
  <c r="AC103" i="1"/>
  <c r="D153" i="1"/>
  <c r="H86" i="1"/>
  <c r="O153" i="1"/>
  <c r="AL86" i="1"/>
  <c r="AT86" i="1"/>
  <c r="AE153" i="1"/>
  <c r="U136" i="1"/>
  <c r="M103" i="1"/>
  <c r="H103" i="1"/>
  <c r="O119" i="1"/>
  <c r="AA154" i="1" a="1"/>
  <c r="AE159" i="1" s="1"/>
  <c r="AR153" i="1"/>
  <c r="AJ153" i="1"/>
  <c r="V19" i="1"/>
  <c r="W298" i="1" s="1"/>
  <c r="V20" i="1"/>
  <c r="X298" i="1" s="1"/>
  <c r="AC310" i="1"/>
  <c r="V103" i="1"/>
  <c r="AK103" i="1"/>
  <c r="AM86" i="1"/>
  <c r="AM136" i="1"/>
  <c r="T86" i="1"/>
  <c r="S87" i="1" a="1"/>
  <c r="T103" i="1"/>
  <c r="S104" i="1" a="1"/>
  <c r="AJ103" i="1"/>
  <c r="AI104" i="1" a="1"/>
  <c r="AS153" i="1"/>
  <c r="E136" i="1"/>
  <c r="M136" i="1"/>
  <c r="U153" i="1"/>
  <c r="AQ208" i="1" a="1"/>
  <c r="AS86" i="1"/>
  <c r="V86" i="1"/>
  <c r="N119" i="1"/>
  <c r="N153" i="1"/>
  <c r="K120" i="1" a="1"/>
  <c r="AN86" i="1"/>
  <c r="AV119" i="1"/>
  <c r="AN103" i="1"/>
  <c r="U103" i="1"/>
  <c r="AS103" i="1"/>
  <c r="M119" i="1"/>
  <c r="Z13" i="1"/>
  <c r="Z10" i="1" s="1"/>
  <c r="V26" i="1"/>
  <c r="AF103" i="1"/>
  <c r="AM103" i="1"/>
  <c r="AM153" i="1"/>
  <c r="AQ104" i="1" a="1"/>
  <c r="AR103" i="1"/>
  <c r="L86" i="1"/>
  <c r="K87" i="1" a="1"/>
  <c r="AA104" i="1" a="1"/>
  <c r="AB103" i="1"/>
  <c r="AC295" i="1"/>
  <c r="AK153" i="1"/>
  <c r="M153" i="1"/>
  <c r="AS136" i="1"/>
  <c r="AT207" i="1"/>
  <c r="E86" i="1"/>
  <c r="N86" i="1"/>
  <c r="V153" i="1"/>
  <c r="S120" i="1" a="1"/>
  <c r="AV103" i="1"/>
  <c r="AC119" i="1"/>
  <c r="U119" i="1"/>
  <c r="AS119" i="1"/>
  <c r="Z8" i="1"/>
  <c r="V22" i="1"/>
  <c r="V315" i="1" s="1"/>
  <c r="AF119" i="1"/>
  <c r="AF136" i="1"/>
  <c r="AF153" i="1"/>
  <c r="K154" i="1" a="1"/>
  <c r="C87" i="1" a="1"/>
  <c r="D86" i="1"/>
  <c r="AR86" i="1"/>
  <c r="AQ87" i="1" a="1"/>
  <c r="AA87" i="1" a="1"/>
  <c r="AB86" i="1"/>
  <c r="AA137" i="1" a="1"/>
  <c r="AK136" i="1"/>
  <c r="E153" i="1"/>
  <c r="AC153" i="1"/>
  <c r="S137" i="1" a="1"/>
  <c r="AA120" i="1" a="1"/>
  <c r="AC86" i="1"/>
  <c r="AK86" i="1"/>
  <c r="N103" i="1"/>
  <c r="N136" i="1"/>
  <c r="AI137" i="1" a="1"/>
  <c r="S154" i="1" a="1"/>
  <c r="AN119" i="1"/>
  <c r="AV136" i="1"/>
  <c r="E103" i="1"/>
  <c r="AK119" i="1"/>
  <c r="E119" i="1"/>
  <c r="AQ120" i="1" a="1"/>
  <c r="V25" i="1"/>
  <c r="Z12" i="1"/>
  <c r="AF86" i="1"/>
  <c r="AM119" i="1"/>
  <c r="AV207" i="1"/>
  <c r="AI87" i="1" a="1"/>
  <c r="AJ86" i="1"/>
  <c r="K104" i="1" a="1"/>
  <c r="L103" i="1"/>
  <c r="D103" i="1"/>
  <c r="C104" i="1" a="1"/>
  <c r="AI120" i="1" a="1"/>
  <c r="Y279" i="1"/>
  <c r="AB279" i="1" s="1"/>
  <c r="AD279" i="1" s="1"/>
  <c r="AI175" i="1" l="1"/>
  <c r="AI171" i="1"/>
  <c r="L140" i="1"/>
  <c r="AK188" i="1"/>
  <c r="AR158" i="1"/>
  <c r="O141" i="1"/>
  <c r="AL157" i="1"/>
  <c r="AB274" i="1"/>
  <c r="AD274" i="1" s="1"/>
  <c r="AC274" i="1" s="1"/>
  <c r="AI173" i="1"/>
  <c r="O142" i="1"/>
  <c r="AL192" i="1"/>
  <c r="AI190" i="1"/>
  <c r="E125" i="1"/>
  <c r="AI192" i="1"/>
  <c r="G137" i="1"/>
  <c r="H123" i="1"/>
  <c r="C125" i="1"/>
  <c r="D122" i="1"/>
  <c r="C120" i="1"/>
  <c r="G155" i="1"/>
  <c r="AK190" i="1"/>
  <c r="AK189" i="1"/>
  <c r="AJ193" i="1"/>
  <c r="AM193" i="1"/>
  <c r="AM191" i="1"/>
  <c r="AK191" i="1"/>
  <c r="AN192" i="1"/>
  <c r="AL193" i="1"/>
  <c r="AK192" i="1"/>
  <c r="AN191" i="1"/>
  <c r="AI188" i="1"/>
  <c r="AN188" i="1"/>
  <c r="AN193" i="1"/>
  <c r="AI191" i="1"/>
  <c r="P142" i="1"/>
  <c r="AA274" i="1"/>
  <c r="AI193" i="1"/>
  <c r="AL190" i="1"/>
  <c r="AJ189" i="1"/>
  <c r="AM189" i="1"/>
  <c r="AM192" i="1"/>
  <c r="AJ191" i="1"/>
  <c r="AM190" i="1"/>
  <c r="AN189" i="1"/>
  <c r="AJ188" i="1"/>
  <c r="AM172" i="1"/>
  <c r="AT158" i="1"/>
  <c r="G158" i="1"/>
  <c r="M141" i="1"/>
  <c r="AL189" i="1"/>
  <c r="AI189" i="1"/>
  <c r="AL188" i="1"/>
  <c r="AJ190" i="1"/>
  <c r="AJ192" i="1"/>
  <c r="AK193" i="1"/>
  <c r="AM188" i="1"/>
  <c r="AL191" i="1"/>
  <c r="AI174" i="1"/>
  <c r="AM171" i="1"/>
  <c r="AR157" i="1"/>
  <c r="AK176" i="1"/>
  <c r="AK171" i="1"/>
  <c r="AS158" i="1"/>
  <c r="H159" i="1"/>
  <c r="L141" i="1"/>
  <c r="N140" i="1"/>
  <c r="K141" i="1"/>
  <c r="H124" i="1"/>
  <c r="E123" i="1"/>
  <c r="E122" i="1"/>
  <c r="AM175" i="1"/>
  <c r="AN174" i="1"/>
  <c r="AJ171" i="1"/>
  <c r="AT193" i="1"/>
  <c r="AV157" i="1"/>
  <c r="H154" i="1"/>
  <c r="O140" i="1"/>
  <c r="P141" i="1"/>
  <c r="AN159" i="1"/>
  <c r="D121" i="1"/>
  <c r="G122" i="1"/>
  <c r="AC172" i="1"/>
  <c r="AE175" i="1"/>
  <c r="AV155" i="1"/>
  <c r="AU154" i="1"/>
  <c r="H158" i="1"/>
  <c r="F158" i="1"/>
  <c r="F140" i="1"/>
  <c r="AK157" i="1"/>
  <c r="AS192" i="1"/>
  <c r="AF172" i="1"/>
  <c r="AL176" i="1"/>
  <c r="AI172" i="1"/>
  <c r="AL175" i="1"/>
  <c r="AL171" i="1"/>
  <c r="AU158" i="1"/>
  <c r="AU155" i="1"/>
  <c r="D154" i="1"/>
  <c r="E157" i="1"/>
  <c r="E158" i="1"/>
  <c r="AJ155" i="1"/>
  <c r="AM157" i="1"/>
  <c r="AC176" i="1"/>
  <c r="AE174" i="1"/>
  <c r="AD171" i="1"/>
  <c r="AB176" i="1"/>
  <c r="AC175" i="1"/>
  <c r="AD172" i="1"/>
  <c r="AQ154" i="1"/>
  <c r="AR155" i="1"/>
  <c r="AV158" i="1"/>
  <c r="AS154" i="1"/>
  <c r="AU159" i="1"/>
  <c r="C156" i="1"/>
  <c r="D156" i="1"/>
  <c r="D159" i="1"/>
  <c r="E154" i="1"/>
  <c r="G159" i="1"/>
  <c r="AN156" i="1"/>
  <c r="AN158" i="1"/>
  <c r="AI155" i="1"/>
  <c r="AS188" i="1"/>
  <c r="AA176" i="1"/>
  <c r="AB171" i="1"/>
  <c r="AF175" i="1"/>
  <c r="AE172" i="1"/>
  <c r="AC174" i="1"/>
  <c r="AJ173" i="1"/>
  <c r="AL173" i="1"/>
  <c r="AN171" i="1"/>
  <c r="AJ174" i="1"/>
  <c r="AI176" i="1"/>
  <c r="AR154" i="1"/>
  <c r="AS155" i="1"/>
  <c r="AT156" i="1"/>
  <c r="AQ157" i="1"/>
  <c r="E155" i="1"/>
  <c r="F155" i="1"/>
  <c r="G156" i="1"/>
  <c r="C157" i="1"/>
  <c r="AL159" i="1"/>
  <c r="AN154" i="1"/>
  <c r="AI159" i="1"/>
  <c r="AU192" i="1"/>
  <c r="AA173" i="1"/>
  <c r="AF174" i="1"/>
  <c r="AA175" i="1"/>
  <c r="AC173" i="1"/>
  <c r="AU156" i="1"/>
  <c r="AT157" i="1"/>
  <c r="AQ156" i="1"/>
  <c r="AV156" i="1"/>
  <c r="AR156" i="1"/>
  <c r="AV159" i="1"/>
  <c r="AS157" i="1"/>
  <c r="AQ155" i="1"/>
  <c r="AU157" i="1"/>
  <c r="F159" i="1"/>
  <c r="H156" i="1"/>
  <c r="F154" i="1"/>
  <c r="G154" i="1"/>
  <c r="D158" i="1"/>
  <c r="H155" i="1"/>
  <c r="E159" i="1"/>
  <c r="E156" i="1"/>
  <c r="C159" i="1"/>
  <c r="AI156" i="1"/>
  <c r="AJ157" i="1"/>
  <c r="AJ158" i="1"/>
  <c r="AK159" i="1"/>
  <c r="AK158" i="1"/>
  <c r="D123" i="1"/>
  <c r="C124" i="1"/>
  <c r="C121" i="1"/>
  <c r="AV189" i="1"/>
  <c r="AU190" i="1"/>
  <c r="AB172" i="1"/>
  <c r="AF173" i="1"/>
  <c r="AD176" i="1"/>
  <c r="AE176" i="1"/>
  <c r="AD173" i="1"/>
  <c r="AE173" i="1"/>
  <c r="AB175" i="1"/>
  <c r="AF176" i="1"/>
  <c r="AA172" i="1"/>
  <c r="AM174" i="1"/>
  <c r="AN172" i="1"/>
  <c r="AJ176" i="1"/>
  <c r="AL172" i="1"/>
  <c r="AM176" i="1"/>
  <c r="AN175" i="1"/>
  <c r="AK173" i="1"/>
  <c r="AV154" i="1"/>
  <c r="AS159" i="1"/>
  <c r="AT159" i="1"/>
  <c r="AT154" i="1"/>
  <c r="AQ158" i="1"/>
  <c r="AT155" i="1"/>
  <c r="AR159" i="1"/>
  <c r="AS156" i="1"/>
  <c r="H157" i="1"/>
  <c r="D155" i="1"/>
  <c r="D157" i="1"/>
  <c r="C158" i="1"/>
  <c r="F156" i="1"/>
  <c r="C154" i="1"/>
  <c r="F157" i="1"/>
  <c r="C155" i="1"/>
  <c r="AM158" i="1"/>
  <c r="AJ156" i="1"/>
  <c r="AL156" i="1"/>
  <c r="AN155" i="1"/>
  <c r="AM155" i="1"/>
  <c r="AS193" i="1"/>
  <c r="AQ192" i="1"/>
  <c r="AT192" i="1"/>
  <c r="AC171" i="1"/>
  <c r="AA174" i="1"/>
  <c r="AA171" i="1"/>
  <c r="AB173" i="1"/>
  <c r="AD174" i="1"/>
  <c r="AD175" i="1"/>
  <c r="AE171" i="1"/>
  <c r="AB174" i="1"/>
  <c r="AR191" i="1"/>
  <c r="AU191" i="1"/>
  <c r="AS190" i="1"/>
  <c r="AQ190" i="1"/>
  <c r="AV188" i="1"/>
  <c r="AU189" i="1"/>
  <c r="AU188" i="1"/>
  <c r="AR190" i="1"/>
  <c r="AS191" i="1"/>
  <c r="BO176" i="1"/>
  <c r="BR174" i="1"/>
  <c r="BS176" i="1"/>
  <c r="BR171" i="1"/>
  <c r="BQ172" i="1"/>
  <c r="BQ175" i="1"/>
  <c r="BR172" i="1"/>
  <c r="BP173" i="1"/>
  <c r="BP174" i="1"/>
  <c r="L137" i="1"/>
  <c r="N141" i="1"/>
  <c r="L138" i="1"/>
  <c r="M138" i="1"/>
  <c r="H141" i="1"/>
  <c r="D120" i="1"/>
  <c r="F125" i="1"/>
  <c r="F121" i="1"/>
  <c r="F123" i="1"/>
  <c r="C123" i="1"/>
  <c r="AU193" i="1"/>
  <c r="AQ189" i="1"/>
  <c r="AV192" i="1"/>
  <c r="AQ188" i="1"/>
  <c r="AV191" i="1"/>
  <c r="AT190" i="1"/>
  <c r="AV190" i="1"/>
  <c r="AT188" i="1"/>
  <c r="AR189" i="1"/>
  <c r="AN176" i="1"/>
  <c r="AK175" i="1"/>
  <c r="AN173" i="1"/>
  <c r="AJ172" i="1"/>
  <c r="AK172" i="1"/>
  <c r="AL174" i="1"/>
  <c r="AJ175" i="1"/>
  <c r="AK174" i="1"/>
  <c r="BR176" i="1"/>
  <c r="BS171" i="1"/>
  <c r="BP175" i="1"/>
  <c r="BQ173" i="1"/>
  <c r="BQ176" i="1"/>
  <c r="BS175" i="1"/>
  <c r="BP171" i="1"/>
  <c r="BT173" i="1"/>
  <c r="BQ171" i="1"/>
  <c r="BO174" i="1"/>
  <c r="BS172" i="1"/>
  <c r="BR173" i="1"/>
  <c r="BP176" i="1"/>
  <c r="BO173" i="1"/>
  <c r="BQ174" i="1"/>
  <c r="BT174" i="1"/>
  <c r="BT171" i="1"/>
  <c r="BP172" i="1"/>
  <c r="M139" i="1"/>
  <c r="P137" i="1"/>
  <c r="L139" i="1"/>
  <c r="K139" i="1"/>
  <c r="F137" i="1"/>
  <c r="AR188" i="1"/>
  <c r="AQ191" i="1"/>
  <c r="AR192" i="1"/>
  <c r="AS189" i="1"/>
  <c r="AT191" i="1"/>
  <c r="AT189" i="1"/>
  <c r="AQ193" i="1"/>
  <c r="AV193" i="1"/>
  <c r="BS174" i="1"/>
  <c r="BO172" i="1"/>
  <c r="BS173" i="1"/>
  <c r="BT175" i="1"/>
  <c r="BO171" i="1"/>
  <c r="BT176" i="1"/>
  <c r="BT172" i="1"/>
  <c r="BR175" i="1"/>
  <c r="BS188" i="1"/>
  <c r="BR193" i="1"/>
  <c r="BT190" i="1"/>
  <c r="BQ193" i="1"/>
  <c r="BR190" i="1"/>
  <c r="BT192" i="1"/>
  <c r="BT191" i="1"/>
  <c r="BR192" i="1"/>
  <c r="BO188" i="1"/>
  <c r="BS193" i="1"/>
  <c r="BS189" i="1"/>
  <c r="BT188" i="1"/>
  <c r="BS191" i="1"/>
  <c r="BR189" i="1"/>
  <c r="BR188" i="1"/>
  <c r="BP190" i="1"/>
  <c r="BP191" i="1"/>
  <c r="BT189" i="1"/>
  <c r="BT193" i="1"/>
  <c r="BR191" i="1"/>
  <c r="BQ189" i="1"/>
  <c r="BP192" i="1"/>
  <c r="BS190" i="1"/>
  <c r="BP193" i="1"/>
  <c r="BQ191" i="1"/>
  <c r="BQ192" i="1"/>
  <c r="BO190" i="1"/>
  <c r="BP188" i="1"/>
  <c r="BQ190" i="1"/>
  <c r="BO191" i="1"/>
  <c r="BO193" i="1"/>
  <c r="BO192" i="1"/>
  <c r="BS192" i="1"/>
  <c r="BP189" i="1"/>
  <c r="BQ188" i="1"/>
  <c r="BO189" i="1"/>
  <c r="BH188" i="1"/>
  <c r="BK190" i="1"/>
  <c r="BJ189" i="1"/>
  <c r="BI191" i="1"/>
  <c r="BJ192" i="1"/>
  <c r="BH193" i="1"/>
  <c r="BL193" i="1"/>
  <c r="BK193" i="1"/>
  <c r="BI188" i="1"/>
  <c r="BL191" i="1"/>
  <c r="BJ193" i="1"/>
  <c r="BH190" i="1"/>
  <c r="BK191" i="1"/>
  <c r="BH189" i="1"/>
  <c r="BG192" i="1"/>
  <c r="BK189" i="1"/>
  <c r="BI192" i="1"/>
  <c r="BL192" i="1"/>
  <c r="BJ190" i="1"/>
  <c r="BI189" i="1"/>
  <c r="BG188" i="1"/>
  <c r="BI190" i="1"/>
  <c r="BI193" i="1"/>
  <c r="BL190" i="1"/>
  <c r="BG189" i="1"/>
  <c r="BK188" i="1"/>
  <c r="BJ191" i="1"/>
  <c r="BJ188" i="1"/>
  <c r="BH191" i="1"/>
  <c r="BG193" i="1"/>
  <c r="BG191" i="1"/>
  <c r="BG190" i="1"/>
  <c r="BL188" i="1"/>
  <c r="BH192" i="1"/>
  <c r="BL189" i="1"/>
  <c r="BK192" i="1"/>
  <c r="E137" i="1"/>
  <c r="D137" i="1"/>
  <c r="F138" i="1"/>
  <c r="E138" i="1"/>
  <c r="AR140" i="1"/>
  <c r="BB190" i="1"/>
  <c r="AZ188" i="1"/>
  <c r="AZ190" i="1"/>
  <c r="BB193" i="1"/>
  <c r="BB191" i="1"/>
  <c r="AY193" i="1"/>
  <c r="AZ191" i="1"/>
  <c r="BC193" i="1"/>
  <c r="AY192" i="1"/>
  <c r="AZ193" i="1"/>
  <c r="AY189" i="1"/>
  <c r="BA191" i="1"/>
  <c r="AZ189" i="1"/>
  <c r="AY188" i="1"/>
  <c r="BD189" i="1"/>
  <c r="AZ192" i="1"/>
  <c r="BA188" i="1"/>
  <c r="BD191" i="1"/>
  <c r="BD192" i="1"/>
  <c r="BC189" i="1"/>
  <c r="BB192" i="1"/>
  <c r="BA190" i="1"/>
  <c r="BA189" i="1"/>
  <c r="AY190" i="1"/>
  <c r="BB189" i="1"/>
  <c r="AY191" i="1"/>
  <c r="BA193" i="1"/>
  <c r="BC190" i="1"/>
  <c r="BD193" i="1"/>
  <c r="BC191" i="1"/>
  <c r="BB188" i="1"/>
  <c r="BC188" i="1"/>
  <c r="BD190" i="1"/>
  <c r="BA192" i="1"/>
  <c r="BD188" i="1"/>
  <c r="BC192" i="1"/>
  <c r="AT171" i="1"/>
  <c r="AV173" i="1"/>
  <c r="AS172" i="1"/>
  <c r="AR175" i="1"/>
  <c r="AR172" i="1"/>
  <c r="AS176" i="1"/>
  <c r="AQ176" i="1"/>
  <c r="AR176" i="1"/>
  <c r="AV174" i="1"/>
  <c r="AQ172" i="1"/>
  <c r="AS174" i="1"/>
  <c r="AT173" i="1"/>
  <c r="AV175" i="1"/>
  <c r="AS173" i="1"/>
  <c r="AU171" i="1"/>
  <c r="AQ173" i="1"/>
  <c r="AS171" i="1"/>
  <c r="AT175" i="1"/>
  <c r="AU172" i="1"/>
  <c r="AR171" i="1"/>
  <c r="AQ174" i="1"/>
  <c r="AT176" i="1"/>
  <c r="AT174" i="1"/>
  <c r="AV172" i="1"/>
  <c r="AR174" i="1"/>
  <c r="AT172" i="1"/>
  <c r="AU176" i="1"/>
  <c r="AR173" i="1"/>
  <c r="AV171" i="1"/>
  <c r="AU174" i="1"/>
  <c r="AQ171" i="1"/>
  <c r="AS175" i="1"/>
  <c r="AU175" i="1"/>
  <c r="AQ175" i="1"/>
  <c r="AU173" i="1"/>
  <c r="AV176" i="1"/>
  <c r="N137" i="1"/>
  <c r="K142" i="1"/>
  <c r="K138" i="1"/>
  <c r="O138" i="1"/>
  <c r="L142" i="1"/>
  <c r="K140" i="1"/>
  <c r="K137" i="1"/>
  <c r="O139" i="1"/>
  <c r="M142" i="1"/>
  <c r="E141" i="1"/>
  <c r="G138" i="1"/>
  <c r="H139" i="1"/>
  <c r="D141" i="1"/>
  <c r="E140" i="1"/>
  <c r="AT141" i="1"/>
  <c r="E121" i="1"/>
  <c r="C122" i="1"/>
  <c r="F120" i="1"/>
  <c r="H121" i="1"/>
  <c r="E120" i="1"/>
  <c r="G123" i="1"/>
  <c r="BL171" i="1"/>
  <c r="BK174" i="1"/>
  <c r="BH173" i="1"/>
  <c r="BI171" i="1"/>
  <c r="BK175" i="1"/>
  <c r="BH174" i="1"/>
  <c r="BL175" i="1"/>
  <c r="BJ174" i="1"/>
  <c r="BK171" i="1"/>
  <c r="BJ173" i="1"/>
  <c r="BG172" i="1"/>
  <c r="BI174" i="1"/>
  <c r="BK173" i="1"/>
  <c r="BL176" i="1"/>
  <c r="BG176" i="1"/>
  <c r="BH172" i="1"/>
  <c r="BI175" i="1"/>
  <c r="BG175" i="1"/>
  <c r="BH171" i="1"/>
  <c r="BG174" i="1"/>
  <c r="BK172" i="1"/>
  <c r="BJ175" i="1"/>
  <c r="BL174" i="1"/>
  <c r="BG173" i="1"/>
  <c r="BK176" i="1"/>
  <c r="BI173" i="1"/>
  <c r="BL172" i="1"/>
  <c r="BI172" i="1"/>
  <c r="BJ171" i="1"/>
  <c r="BL173" i="1"/>
  <c r="BJ172" i="1"/>
  <c r="BI176" i="1"/>
  <c r="BH175" i="1"/>
  <c r="BG171" i="1"/>
  <c r="BH176" i="1"/>
  <c r="BJ176" i="1"/>
  <c r="T172" i="1"/>
  <c r="S175" i="1"/>
  <c r="S173" i="1"/>
  <c r="U175" i="1"/>
  <c r="S174" i="1"/>
  <c r="U172" i="1"/>
  <c r="S176" i="1"/>
  <c r="V175" i="1"/>
  <c r="X173" i="1"/>
  <c r="S171" i="1"/>
  <c r="U173" i="1"/>
  <c r="U171" i="1"/>
  <c r="T174" i="1"/>
  <c r="X176" i="1"/>
  <c r="V176" i="1"/>
  <c r="W174" i="1"/>
  <c r="T173" i="1"/>
  <c r="V171" i="1"/>
  <c r="X172" i="1"/>
  <c r="W173" i="1"/>
  <c r="T175" i="1"/>
  <c r="S172" i="1"/>
  <c r="T176" i="1"/>
  <c r="V174" i="1"/>
  <c r="X174" i="1"/>
  <c r="T171" i="1"/>
  <c r="U174" i="1"/>
  <c r="W175" i="1"/>
  <c r="U176" i="1"/>
  <c r="V173" i="1"/>
  <c r="W176" i="1"/>
  <c r="W171" i="1"/>
  <c r="V172" i="1"/>
  <c r="X171" i="1"/>
  <c r="X175" i="1"/>
  <c r="W172" i="1"/>
  <c r="T191" i="1"/>
  <c r="X193" i="1"/>
  <c r="S190" i="1"/>
  <c r="X191" i="1"/>
  <c r="T193" i="1"/>
  <c r="S188" i="1"/>
  <c r="T189" i="1"/>
  <c r="W190" i="1"/>
  <c r="U192" i="1"/>
  <c r="W193" i="1"/>
  <c r="V188" i="1"/>
  <c r="X190" i="1"/>
  <c r="U188" i="1"/>
  <c r="S192" i="1"/>
  <c r="S193" i="1"/>
  <c r="V191" i="1"/>
  <c r="U190" i="1"/>
  <c r="X189" i="1"/>
  <c r="T188" i="1"/>
  <c r="W189" i="1"/>
  <c r="V192" i="1"/>
  <c r="V190" i="1"/>
  <c r="W188" i="1"/>
  <c r="W192" i="1"/>
  <c r="X188" i="1"/>
  <c r="T190" i="1"/>
  <c r="V193" i="1"/>
  <c r="W191" i="1"/>
  <c r="V189" i="1"/>
  <c r="U193" i="1"/>
  <c r="S191" i="1"/>
  <c r="U189" i="1"/>
  <c r="T192" i="1"/>
  <c r="X192" i="1"/>
  <c r="S189" i="1"/>
  <c r="U191" i="1"/>
  <c r="AY171" i="1"/>
  <c r="BA173" i="1"/>
  <c r="AY173" i="1"/>
  <c r="BA175" i="1"/>
  <c r="BC174" i="1"/>
  <c r="BD171" i="1"/>
  <c r="BB171" i="1"/>
  <c r="AY176" i="1"/>
  <c r="AY172" i="1"/>
  <c r="BC171" i="1"/>
  <c r="BB174" i="1"/>
  <c r="BC173" i="1"/>
  <c r="AZ171" i="1"/>
  <c r="AY175" i="1"/>
  <c r="AY174" i="1"/>
  <c r="BC172" i="1"/>
  <c r="BC175" i="1"/>
  <c r="AZ173" i="1"/>
  <c r="AZ172" i="1"/>
  <c r="BA171" i="1"/>
  <c r="AZ174" i="1"/>
  <c r="BA172" i="1"/>
  <c r="BD175" i="1"/>
  <c r="BB175" i="1"/>
  <c r="BD173" i="1"/>
  <c r="BA176" i="1"/>
  <c r="BA174" i="1"/>
  <c r="BB172" i="1"/>
  <c r="AZ176" i="1"/>
  <c r="BD174" i="1"/>
  <c r="AZ175" i="1"/>
  <c r="BB173" i="1"/>
  <c r="BC176" i="1"/>
  <c r="BD172" i="1"/>
  <c r="BB176" i="1"/>
  <c r="BD176" i="1"/>
  <c r="H188" i="1"/>
  <c r="G191" i="1"/>
  <c r="C188" i="1"/>
  <c r="E191" i="1"/>
  <c r="D189" i="1"/>
  <c r="C193" i="1"/>
  <c r="E192" i="1"/>
  <c r="F191" i="1"/>
  <c r="H191" i="1"/>
  <c r="F188" i="1"/>
  <c r="F190" i="1"/>
  <c r="H192" i="1"/>
  <c r="H189" i="1"/>
  <c r="F193" i="1"/>
  <c r="H190" i="1"/>
  <c r="C190" i="1"/>
  <c r="G188" i="1"/>
  <c r="G193" i="1"/>
  <c r="D192" i="1"/>
  <c r="F192" i="1"/>
  <c r="G189" i="1"/>
  <c r="G192" i="1"/>
  <c r="D188" i="1"/>
  <c r="D193" i="1"/>
  <c r="E188" i="1"/>
  <c r="D191" i="1"/>
  <c r="G190" i="1"/>
  <c r="E189" i="1"/>
  <c r="C189" i="1"/>
  <c r="F189" i="1"/>
  <c r="E193" i="1"/>
  <c r="H193" i="1"/>
  <c r="C191" i="1"/>
  <c r="D190" i="1"/>
  <c r="C192" i="1"/>
  <c r="E190" i="1"/>
  <c r="P138" i="1"/>
  <c r="N142" i="1"/>
  <c r="N138" i="1"/>
  <c r="P139" i="1"/>
  <c r="N139" i="1"/>
  <c r="M137" i="1"/>
  <c r="P140" i="1"/>
  <c r="O137" i="1"/>
  <c r="D139" i="1"/>
  <c r="H140" i="1"/>
  <c r="G140" i="1"/>
  <c r="C142" i="1"/>
  <c r="C141" i="1"/>
  <c r="AV141" i="1"/>
  <c r="N171" i="1"/>
  <c r="P173" i="1"/>
  <c r="P171" i="1"/>
  <c r="O174" i="1"/>
  <c r="O171" i="1"/>
  <c r="P176" i="1"/>
  <c r="N174" i="1"/>
  <c r="K173" i="1"/>
  <c r="N172" i="1"/>
  <c r="O172" i="1"/>
  <c r="N175" i="1"/>
  <c r="N173" i="1"/>
  <c r="P175" i="1"/>
  <c r="K175" i="1"/>
  <c r="L172" i="1"/>
  <c r="O176" i="1"/>
  <c r="M175" i="1"/>
  <c r="P174" i="1"/>
  <c r="K172" i="1"/>
  <c r="M172" i="1"/>
  <c r="P172" i="1"/>
  <c r="O175" i="1"/>
  <c r="O173" i="1"/>
  <c r="L173" i="1"/>
  <c r="K174" i="1"/>
  <c r="L176" i="1"/>
  <c r="M176" i="1"/>
  <c r="K176" i="1"/>
  <c r="M174" i="1"/>
  <c r="L175" i="1"/>
  <c r="K171" i="1"/>
  <c r="L174" i="1"/>
  <c r="L171" i="1"/>
  <c r="N176" i="1"/>
  <c r="M173" i="1"/>
  <c r="M171" i="1"/>
  <c r="G173" i="1"/>
  <c r="C171" i="1"/>
  <c r="E173" i="1"/>
  <c r="C176" i="1"/>
  <c r="H173" i="1"/>
  <c r="F175" i="1"/>
  <c r="D176" i="1"/>
  <c r="G174" i="1"/>
  <c r="H176" i="1"/>
  <c r="F172" i="1"/>
  <c r="H174" i="1"/>
  <c r="D172" i="1"/>
  <c r="C175" i="1"/>
  <c r="F171" i="1"/>
  <c r="D173" i="1"/>
  <c r="C174" i="1"/>
  <c r="E172" i="1"/>
  <c r="F176" i="1"/>
  <c r="D174" i="1"/>
  <c r="F174" i="1"/>
  <c r="C172" i="1"/>
  <c r="D171" i="1"/>
  <c r="E175" i="1"/>
  <c r="G175" i="1"/>
  <c r="E174" i="1"/>
  <c r="F173" i="1"/>
  <c r="E171" i="1"/>
  <c r="G171" i="1"/>
  <c r="G176" i="1"/>
  <c r="E176" i="1"/>
  <c r="H175" i="1"/>
  <c r="C173" i="1"/>
  <c r="H172" i="1"/>
  <c r="G172" i="1"/>
  <c r="D175" i="1"/>
  <c r="H171" i="1"/>
  <c r="K188" i="1"/>
  <c r="K190" i="1"/>
  <c r="M192" i="1"/>
  <c r="O189" i="1"/>
  <c r="N188" i="1"/>
  <c r="K192" i="1"/>
  <c r="N192" i="1"/>
  <c r="N191" i="1"/>
  <c r="N190" i="1"/>
  <c r="O188" i="1"/>
  <c r="O190" i="1"/>
  <c r="M188" i="1"/>
  <c r="L191" i="1"/>
  <c r="O193" i="1"/>
  <c r="K191" i="1"/>
  <c r="P189" i="1"/>
  <c r="L190" i="1"/>
  <c r="L189" i="1"/>
  <c r="M193" i="1"/>
  <c r="P192" i="1"/>
  <c r="N189" i="1"/>
  <c r="P190" i="1"/>
  <c r="P193" i="1"/>
  <c r="O192" i="1"/>
  <c r="P191" i="1"/>
  <c r="L192" i="1"/>
  <c r="M191" i="1"/>
  <c r="M189" i="1"/>
  <c r="K193" i="1"/>
  <c r="K189" i="1"/>
  <c r="L193" i="1"/>
  <c r="O191" i="1"/>
  <c r="L188" i="1"/>
  <c r="P188" i="1"/>
  <c r="M190" i="1"/>
  <c r="N193" i="1"/>
  <c r="AD190" i="1"/>
  <c r="AB188" i="1"/>
  <c r="AE190" i="1"/>
  <c r="AD193" i="1"/>
  <c r="AF191" i="1"/>
  <c r="AB189" i="1"/>
  <c r="AA192" i="1"/>
  <c r="AD188" i="1"/>
  <c r="AD192" i="1"/>
  <c r="AA190" i="1"/>
  <c r="AA188" i="1"/>
  <c r="AC190" i="1"/>
  <c r="AC193" i="1"/>
  <c r="AB190" i="1"/>
  <c r="AC189" i="1"/>
  <c r="AC192" i="1"/>
  <c r="AE193" i="1"/>
  <c r="AA191" i="1"/>
  <c r="AE191" i="1"/>
  <c r="AE188" i="1"/>
  <c r="AD191" i="1"/>
  <c r="AF193" i="1"/>
  <c r="AC191" i="1"/>
  <c r="AA193" i="1"/>
  <c r="AE189" i="1"/>
  <c r="AB192" i="1"/>
  <c r="AC188" i="1"/>
  <c r="AF188" i="1"/>
  <c r="AB193" i="1"/>
  <c r="AF189" i="1"/>
  <c r="AA189" i="1"/>
  <c r="AE192" i="1"/>
  <c r="AB191" i="1"/>
  <c r="AF190" i="1"/>
  <c r="AF192" i="1"/>
  <c r="AD189" i="1"/>
  <c r="AB156" i="1"/>
  <c r="AA155" i="1"/>
  <c r="AT138" i="1"/>
  <c r="AT140" i="1"/>
  <c r="AU137" i="1"/>
  <c r="H137" i="1"/>
  <c r="F139" i="1"/>
  <c r="D138" i="1"/>
  <c r="C138" i="1"/>
  <c r="F141" i="1"/>
  <c r="E139" i="1"/>
  <c r="H142" i="1"/>
  <c r="C139" i="1"/>
  <c r="G141" i="1"/>
  <c r="AA154" i="1"/>
  <c r="AU140" i="1"/>
  <c r="AS137" i="1"/>
  <c r="AS138" i="1"/>
  <c r="AA158" i="1"/>
  <c r="AF157" i="1"/>
  <c r="G142" i="1"/>
  <c r="D142" i="1"/>
  <c r="C140" i="1"/>
  <c r="H138" i="1"/>
  <c r="F142" i="1"/>
  <c r="D140" i="1"/>
  <c r="C137" i="1"/>
  <c r="G139" i="1"/>
  <c r="AE156" i="1"/>
  <c r="AS139" i="1"/>
  <c r="AV139" i="1"/>
  <c r="AR138" i="1"/>
  <c r="AQ141" i="1"/>
  <c r="AB157" i="1"/>
  <c r="AB159" i="1"/>
  <c r="AB155" i="1"/>
  <c r="AE157" i="1"/>
  <c r="AN157" i="1"/>
  <c r="AI158" i="1"/>
  <c r="AM154" i="1"/>
  <c r="AI154" i="1"/>
  <c r="AL158" i="1"/>
  <c r="AK156" i="1"/>
  <c r="AV142" i="1"/>
  <c r="AV138" i="1"/>
  <c r="AT139" i="1"/>
  <c r="AV140" i="1"/>
  <c r="AS140" i="1"/>
  <c r="H125" i="1"/>
  <c r="D125" i="1"/>
  <c r="G125" i="1"/>
  <c r="AD156" i="1"/>
  <c r="AB154" i="1"/>
  <c r="AE155" i="1"/>
  <c r="AF158" i="1"/>
  <c r="AB158" i="1"/>
  <c r="AD157" i="1"/>
  <c r="AE158" i="1"/>
  <c r="AC158" i="1"/>
  <c r="AJ154" i="1"/>
  <c r="AL154" i="1"/>
  <c r="AK155" i="1"/>
  <c r="AL155" i="1"/>
  <c r="AJ159" i="1"/>
  <c r="AM156" i="1"/>
  <c r="AK154" i="1"/>
  <c r="AI157" i="1"/>
  <c r="F122" i="1"/>
  <c r="G120" i="1"/>
  <c r="D124" i="1"/>
  <c r="G124" i="1"/>
  <c r="H122" i="1"/>
  <c r="H120" i="1"/>
  <c r="F124" i="1"/>
  <c r="G121" i="1"/>
  <c r="AC155" i="1"/>
  <c r="AF159" i="1"/>
  <c r="AD155" i="1"/>
  <c r="AF154" i="1"/>
  <c r="AD158" i="1"/>
  <c r="AA156" i="1"/>
  <c r="AD159" i="1"/>
  <c r="AC156" i="1"/>
  <c r="AA159" i="1"/>
  <c r="AT137" i="1"/>
  <c r="AQ142" i="1"/>
  <c r="AT142" i="1"/>
  <c r="AV137" i="1"/>
  <c r="AS141" i="1"/>
  <c r="AR139" i="1"/>
  <c r="AU142" i="1"/>
  <c r="AQ139" i="1"/>
  <c r="AU141" i="1"/>
  <c r="AD154" i="1"/>
  <c r="AE154" i="1"/>
  <c r="AC157" i="1"/>
  <c r="AF155" i="1"/>
  <c r="AC159" i="1"/>
  <c r="AF156" i="1"/>
  <c r="AC154" i="1"/>
  <c r="AA157" i="1"/>
  <c r="AR141" i="1"/>
  <c r="AR137" i="1"/>
  <c r="AQ138" i="1"/>
  <c r="AU138" i="1"/>
  <c r="AR142" i="1"/>
  <c r="AQ140" i="1"/>
  <c r="AQ137" i="1"/>
  <c r="AU139" i="1"/>
  <c r="AA7" i="1"/>
  <c r="V21" i="1" s="1"/>
  <c r="AA13" i="1"/>
  <c r="N29" i="1" s="1"/>
  <c r="G109" i="1"/>
  <c r="C109" i="1"/>
  <c r="E108" i="1"/>
  <c r="G107" i="1"/>
  <c r="C107" i="1"/>
  <c r="E106" i="1"/>
  <c r="G105" i="1"/>
  <c r="C105" i="1"/>
  <c r="E104" i="1"/>
  <c r="E109" i="1"/>
  <c r="G108" i="1"/>
  <c r="C108" i="1"/>
  <c r="E107" i="1"/>
  <c r="G106" i="1"/>
  <c r="C106" i="1"/>
  <c r="E105" i="1"/>
  <c r="G104" i="1"/>
  <c r="C104" i="1"/>
  <c r="H108" i="1"/>
  <c r="F107" i="1"/>
  <c r="D106" i="1"/>
  <c r="H104" i="1"/>
  <c r="F109" i="1"/>
  <c r="D108" i="1"/>
  <c r="H106" i="1"/>
  <c r="F105" i="1"/>
  <c r="D104" i="1"/>
  <c r="H109" i="1"/>
  <c r="F108" i="1"/>
  <c r="D107" i="1"/>
  <c r="H105" i="1"/>
  <c r="F104" i="1"/>
  <c r="H107" i="1"/>
  <c r="F106" i="1"/>
  <c r="D105" i="1"/>
  <c r="D109" i="1"/>
  <c r="AU125" i="1"/>
  <c r="AQ125" i="1"/>
  <c r="AS124" i="1"/>
  <c r="AU123" i="1"/>
  <c r="AQ123" i="1"/>
  <c r="AS122" i="1"/>
  <c r="AU121" i="1"/>
  <c r="AQ121" i="1"/>
  <c r="AS120" i="1"/>
  <c r="AR125" i="1"/>
  <c r="AR124" i="1"/>
  <c r="AS123" i="1"/>
  <c r="AT122" i="1"/>
  <c r="AT121" i="1"/>
  <c r="AU120" i="1"/>
  <c r="AS125" i="1"/>
  <c r="AQ124" i="1"/>
  <c r="AV122" i="1"/>
  <c r="AV121" i="1"/>
  <c r="AT120" i="1"/>
  <c r="AV125" i="1"/>
  <c r="AU124" i="1"/>
  <c r="AT123" i="1"/>
  <c r="AR122" i="1"/>
  <c r="AR121" i="1"/>
  <c r="AQ120" i="1"/>
  <c r="AT125" i="1"/>
  <c r="AR123" i="1"/>
  <c r="AV120" i="1"/>
  <c r="AT124" i="1"/>
  <c r="AQ122" i="1"/>
  <c r="AV124" i="1"/>
  <c r="AU122" i="1"/>
  <c r="AR120" i="1"/>
  <c r="AV123" i="1"/>
  <c r="AS121" i="1"/>
  <c r="AK142" i="1"/>
  <c r="AM141" i="1"/>
  <c r="AI141" i="1"/>
  <c r="AK140" i="1"/>
  <c r="AM139" i="1"/>
  <c r="AI139" i="1"/>
  <c r="AK138" i="1"/>
  <c r="AM137" i="1"/>
  <c r="AI137" i="1"/>
  <c r="AN142" i="1"/>
  <c r="AI142" i="1"/>
  <c r="AJ141" i="1"/>
  <c r="AJ140" i="1"/>
  <c r="AK139" i="1"/>
  <c r="AL138" i="1"/>
  <c r="AL137" i="1"/>
  <c r="AL142" i="1"/>
  <c r="AL141" i="1"/>
  <c r="AM140" i="1"/>
  <c r="AN139" i="1"/>
  <c r="AN138" i="1"/>
  <c r="AI138" i="1"/>
  <c r="AJ137" i="1"/>
  <c r="AN141" i="1"/>
  <c r="AI140" i="1"/>
  <c r="AJ138" i="1"/>
  <c r="AM142" i="1"/>
  <c r="AN140" i="1"/>
  <c r="AJ139" i="1"/>
  <c r="AK137" i="1"/>
  <c r="AJ142" i="1"/>
  <c r="AM138" i="1"/>
  <c r="AL140" i="1"/>
  <c r="AK141" i="1"/>
  <c r="AN137" i="1"/>
  <c r="AL139" i="1"/>
  <c r="U142" i="1"/>
  <c r="W141" i="1"/>
  <c r="S141" i="1"/>
  <c r="U140" i="1"/>
  <c r="W139" i="1"/>
  <c r="S139" i="1"/>
  <c r="U138" i="1"/>
  <c r="W137" i="1"/>
  <c r="S137" i="1"/>
  <c r="V142" i="1"/>
  <c r="V141" i="1"/>
  <c r="W140" i="1"/>
  <c r="X139" i="1"/>
  <c r="X138" i="1"/>
  <c r="S138" i="1"/>
  <c r="T137" i="1"/>
  <c r="X142" i="1"/>
  <c r="S142" i="1"/>
  <c r="T141" i="1"/>
  <c r="T140" i="1"/>
  <c r="U139" i="1"/>
  <c r="V138" i="1"/>
  <c r="V137" i="1"/>
  <c r="T142" i="1"/>
  <c r="V140" i="1"/>
  <c r="W138" i="1"/>
  <c r="U141" i="1"/>
  <c r="V139" i="1"/>
  <c r="X137" i="1"/>
  <c r="W142" i="1"/>
  <c r="T139" i="1"/>
  <c r="X140" i="1"/>
  <c r="U137" i="1"/>
  <c r="X141" i="1"/>
  <c r="T138" i="1"/>
  <c r="S140" i="1"/>
  <c r="W125" i="1"/>
  <c r="S125" i="1"/>
  <c r="U124" i="1"/>
  <c r="W123" i="1"/>
  <c r="S123" i="1"/>
  <c r="U122" i="1"/>
  <c r="W121" i="1"/>
  <c r="S121" i="1"/>
  <c r="U120" i="1"/>
  <c r="X125" i="1"/>
  <c r="X124" i="1"/>
  <c r="S124" i="1"/>
  <c r="T123" i="1"/>
  <c r="T122" i="1"/>
  <c r="U121" i="1"/>
  <c r="V120" i="1"/>
  <c r="W124" i="1"/>
  <c r="V123" i="1"/>
  <c r="V122" i="1"/>
  <c r="T121" i="1"/>
  <c r="S120" i="1"/>
  <c r="U125" i="1"/>
  <c r="T124" i="1"/>
  <c r="X122" i="1"/>
  <c r="X121" i="1"/>
  <c r="W120" i="1"/>
  <c r="X123" i="1"/>
  <c r="V121" i="1"/>
  <c r="T125" i="1"/>
  <c r="W122" i="1"/>
  <c r="T120" i="1"/>
  <c r="V125" i="1"/>
  <c r="U123" i="1"/>
  <c r="X120" i="1"/>
  <c r="V124" i="1"/>
  <c r="S122" i="1"/>
  <c r="M92" i="1"/>
  <c r="O91" i="1"/>
  <c r="K91" i="1"/>
  <c r="M90" i="1"/>
  <c r="O89" i="1"/>
  <c r="K89" i="1"/>
  <c r="M88" i="1"/>
  <c r="O87" i="1"/>
  <c r="K87" i="1"/>
  <c r="P92" i="1"/>
  <c r="K92" i="1"/>
  <c r="L91" i="1"/>
  <c r="L90" i="1"/>
  <c r="M89" i="1"/>
  <c r="N88" i="1"/>
  <c r="N87" i="1"/>
  <c r="N92" i="1"/>
  <c r="N91" i="1"/>
  <c r="O90" i="1"/>
  <c r="P89" i="1"/>
  <c r="P88" i="1"/>
  <c r="K88" i="1"/>
  <c r="L87" i="1"/>
  <c r="O92" i="1"/>
  <c r="P91" i="1"/>
  <c r="P90" i="1"/>
  <c r="K90" i="1"/>
  <c r="L89" i="1"/>
  <c r="L88" i="1"/>
  <c r="M87" i="1"/>
  <c r="L92" i="1"/>
  <c r="O88" i="1"/>
  <c r="M91" i="1"/>
  <c r="P87" i="1"/>
  <c r="N90" i="1"/>
  <c r="N89" i="1"/>
  <c r="AM109" i="1"/>
  <c r="AI109" i="1"/>
  <c r="AK108" i="1"/>
  <c r="AK109" i="1"/>
  <c r="AL108" i="1"/>
  <c r="AM107" i="1"/>
  <c r="AI107" i="1"/>
  <c r="AK106" i="1"/>
  <c r="AM105" i="1"/>
  <c r="AI105" i="1"/>
  <c r="AK104" i="1"/>
  <c r="AN109" i="1"/>
  <c r="AN108" i="1"/>
  <c r="AI108" i="1"/>
  <c r="AK107" i="1"/>
  <c r="AM106" i="1"/>
  <c r="AI106" i="1"/>
  <c r="AK105" i="1"/>
  <c r="AM104" i="1"/>
  <c r="AI104" i="1"/>
  <c r="AJ109" i="1"/>
  <c r="AL107" i="1"/>
  <c r="AJ106" i="1"/>
  <c r="AN104" i="1"/>
  <c r="AJ108" i="1"/>
  <c r="AN106" i="1"/>
  <c r="AL105" i="1"/>
  <c r="AJ104" i="1"/>
  <c r="AM108" i="1"/>
  <c r="AJ107" i="1"/>
  <c r="AN105" i="1"/>
  <c r="AL104" i="1"/>
  <c r="AJ105" i="1"/>
  <c r="AL109" i="1"/>
  <c r="AN107" i="1"/>
  <c r="AL106" i="1"/>
  <c r="U92" i="1"/>
  <c r="W91" i="1"/>
  <c r="S91" i="1"/>
  <c r="U90" i="1"/>
  <c r="W89" i="1"/>
  <c r="S89" i="1"/>
  <c r="U88" i="1"/>
  <c r="W87" i="1"/>
  <c r="S87" i="1"/>
  <c r="W92" i="1"/>
  <c r="X91" i="1"/>
  <c r="X90" i="1"/>
  <c r="S90" i="1"/>
  <c r="T89" i="1"/>
  <c r="T88" i="1"/>
  <c r="U87" i="1"/>
  <c r="T92" i="1"/>
  <c r="U91" i="1"/>
  <c r="V90" i="1"/>
  <c r="V89" i="1"/>
  <c r="W88" i="1"/>
  <c r="X87" i="1"/>
  <c r="V92" i="1"/>
  <c r="V91" i="1"/>
  <c r="W90" i="1"/>
  <c r="X89" i="1"/>
  <c r="X88" i="1"/>
  <c r="S88" i="1"/>
  <c r="T87" i="1"/>
  <c r="S92" i="1"/>
  <c r="V88" i="1"/>
  <c r="T91" i="1"/>
  <c r="V87" i="1"/>
  <c r="T90" i="1"/>
  <c r="X92" i="1"/>
  <c r="U89" i="1"/>
  <c r="Z279" i="1"/>
  <c r="AC279" i="1" s="1"/>
  <c r="AK92" i="1"/>
  <c r="AM91" i="1"/>
  <c r="AI91" i="1"/>
  <c r="AK90" i="1"/>
  <c r="AM89" i="1"/>
  <c r="AI89" i="1"/>
  <c r="AK88" i="1"/>
  <c r="AM87" i="1"/>
  <c r="AI87" i="1"/>
  <c r="AJ92" i="1"/>
  <c r="AK91" i="1"/>
  <c r="AL90" i="1"/>
  <c r="AL89" i="1"/>
  <c r="AM88" i="1"/>
  <c r="AN87" i="1"/>
  <c r="AM92" i="1"/>
  <c r="AN91" i="1"/>
  <c r="AN90" i="1"/>
  <c r="AI90" i="1"/>
  <c r="AJ89" i="1"/>
  <c r="AJ88" i="1"/>
  <c r="AK87" i="1"/>
  <c r="AN92" i="1"/>
  <c r="AI92" i="1"/>
  <c r="AJ91" i="1"/>
  <c r="AJ90" i="1"/>
  <c r="AK89" i="1"/>
  <c r="AL88" i="1"/>
  <c r="AL87" i="1"/>
  <c r="AL91" i="1"/>
  <c r="AI88" i="1"/>
  <c r="AM90" i="1"/>
  <c r="AJ87" i="1"/>
  <c r="AN89" i="1"/>
  <c r="AL92" i="1"/>
  <c r="AN88" i="1"/>
  <c r="AA12" i="1"/>
  <c r="N28" i="1" s="1"/>
  <c r="AC92" i="1"/>
  <c r="AE91" i="1"/>
  <c r="AA91" i="1"/>
  <c r="AC90" i="1"/>
  <c r="AE89" i="1"/>
  <c r="AA89" i="1"/>
  <c r="AC88" i="1"/>
  <c r="AE87" i="1"/>
  <c r="AA87" i="1"/>
  <c r="AD92" i="1"/>
  <c r="AD91" i="1"/>
  <c r="AE90" i="1"/>
  <c r="AF89" i="1"/>
  <c r="AF88" i="1"/>
  <c r="AA88" i="1"/>
  <c r="AB87" i="1"/>
  <c r="AF92" i="1"/>
  <c r="AA92" i="1"/>
  <c r="AB91" i="1"/>
  <c r="AB90" i="1"/>
  <c r="AC89" i="1"/>
  <c r="AD88" i="1"/>
  <c r="AD87" i="1"/>
  <c r="AB92" i="1"/>
  <c r="AC91" i="1"/>
  <c r="AD90" i="1"/>
  <c r="AD89" i="1"/>
  <c r="AE88" i="1"/>
  <c r="AF87" i="1"/>
  <c r="AF91" i="1"/>
  <c r="AB88" i="1"/>
  <c r="AF90" i="1"/>
  <c r="AC87" i="1"/>
  <c r="AA90" i="1"/>
  <c r="AE92" i="1"/>
  <c r="AB89" i="1"/>
  <c r="E92" i="1"/>
  <c r="G91" i="1"/>
  <c r="C91" i="1"/>
  <c r="E90" i="1"/>
  <c r="G89" i="1"/>
  <c r="C89" i="1"/>
  <c r="E88" i="1"/>
  <c r="G87" i="1"/>
  <c r="C87" i="1"/>
  <c r="D92" i="1"/>
  <c r="E91" i="1"/>
  <c r="F90" i="1"/>
  <c r="F89" i="1"/>
  <c r="G88" i="1"/>
  <c r="H87" i="1"/>
  <c r="G92" i="1"/>
  <c r="H91" i="1"/>
  <c r="H90" i="1"/>
  <c r="C90" i="1"/>
  <c r="D89" i="1"/>
  <c r="D88" i="1"/>
  <c r="E87" i="1"/>
  <c r="H92" i="1"/>
  <c r="C92" i="1"/>
  <c r="D91" i="1"/>
  <c r="D90" i="1"/>
  <c r="E89" i="1"/>
  <c r="F88" i="1"/>
  <c r="F87" i="1"/>
  <c r="F92" i="1"/>
  <c r="H88" i="1"/>
  <c r="F91" i="1"/>
  <c r="C88" i="1"/>
  <c r="G90" i="1"/>
  <c r="D87" i="1"/>
  <c r="H89" i="1"/>
  <c r="O125" i="1"/>
  <c r="K125" i="1"/>
  <c r="M124" i="1"/>
  <c r="O123" i="1"/>
  <c r="K123" i="1"/>
  <c r="M122" i="1"/>
  <c r="O121" i="1"/>
  <c r="K121" i="1"/>
  <c r="M120" i="1"/>
  <c r="L125" i="1"/>
  <c r="L124" i="1"/>
  <c r="M123" i="1"/>
  <c r="N122" i="1"/>
  <c r="N121" i="1"/>
  <c r="O120" i="1"/>
  <c r="P124" i="1"/>
  <c r="P123" i="1"/>
  <c r="O122" i="1"/>
  <c r="M121" i="1"/>
  <c r="L120" i="1"/>
  <c r="N125" i="1"/>
  <c r="N124" i="1"/>
  <c r="L123" i="1"/>
  <c r="K122" i="1"/>
  <c r="P120" i="1"/>
  <c r="K124" i="1"/>
  <c r="P121" i="1"/>
  <c r="M125" i="1"/>
  <c r="P122" i="1"/>
  <c r="N120" i="1"/>
  <c r="P125" i="1"/>
  <c r="N123" i="1"/>
  <c r="L121" i="1"/>
  <c r="O124" i="1"/>
  <c r="L122" i="1"/>
  <c r="K120" i="1"/>
  <c r="AA15" i="1"/>
  <c r="W159" i="1"/>
  <c r="S159" i="1"/>
  <c r="U158" i="1"/>
  <c r="W157" i="1"/>
  <c r="S157" i="1"/>
  <c r="U156" i="1"/>
  <c r="W155" i="1"/>
  <c r="S155" i="1"/>
  <c r="U154" i="1"/>
  <c r="X159" i="1"/>
  <c r="X158" i="1"/>
  <c r="S158" i="1"/>
  <c r="T157" i="1"/>
  <c r="T156" i="1"/>
  <c r="U155" i="1"/>
  <c r="V154" i="1"/>
  <c r="V159" i="1"/>
  <c r="W158" i="1"/>
  <c r="X157" i="1"/>
  <c r="X156" i="1"/>
  <c r="S156" i="1"/>
  <c r="T155" i="1"/>
  <c r="T154" i="1"/>
  <c r="U159" i="1"/>
  <c r="V157" i="1"/>
  <c r="X155" i="1"/>
  <c r="S154" i="1"/>
  <c r="V158" i="1"/>
  <c r="W156" i="1"/>
  <c r="X154" i="1"/>
  <c r="V156" i="1"/>
  <c r="T158" i="1"/>
  <c r="W154" i="1"/>
  <c r="V155" i="1"/>
  <c r="T159" i="1"/>
  <c r="U157" i="1"/>
  <c r="AS92" i="1"/>
  <c r="AU91" i="1"/>
  <c r="AQ91" i="1"/>
  <c r="AS90" i="1"/>
  <c r="AU89" i="1"/>
  <c r="AQ89" i="1"/>
  <c r="AS88" i="1"/>
  <c r="AU87" i="1"/>
  <c r="AQ87" i="1"/>
  <c r="AV92" i="1"/>
  <c r="AQ92" i="1"/>
  <c r="AR91" i="1"/>
  <c r="AR90" i="1"/>
  <c r="AS89" i="1"/>
  <c r="AT88" i="1"/>
  <c r="AT87" i="1"/>
  <c r="AT92" i="1"/>
  <c r="AT91" i="1"/>
  <c r="AU90" i="1"/>
  <c r="AV89" i="1"/>
  <c r="AV88" i="1"/>
  <c r="AQ88" i="1"/>
  <c r="AR87" i="1"/>
  <c r="AU92" i="1"/>
  <c r="AV91" i="1"/>
  <c r="AV90" i="1"/>
  <c r="AQ90" i="1"/>
  <c r="AR89" i="1"/>
  <c r="AR88" i="1"/>
  <c r="AS87" i="1"/>
  <c r="AS91" i="1"/>
  <c r="AV87" i="1"/>
  <c r="AT90" i="1"/>
  <c r="AT89" i="1"/>
  <c r="AR92" i="1"/>
  <c r="AU88" i="1"/>
  <c r="O159" i="1"/>
  <c r="K159" i="1"/>
  <c r="M158" i="1"/>
  <c r="O157" i="1"/>
  <c r="K157" i="1"/>
  <c r="M156" i="1"/>
  <c r="O155" i="1"/>
  <c r="K155" i="1"/>
  <c r="M154" i="1"/>
  <c r="L159" i="1"/>
  <c r="L158" i="1"/>
  <c r="M157" i="1"/>
  <c r="N156" i="1"/>
  <c r="N155" i="1"/>
  <c r="O154" i="1"/>
  <c r="P159" i="1"/>
  <c r="P158" i="1"/>
  <c r="K158" i="1"/>
  <c r="L157" i="1"/>
  <c r="L156" i="1"/>
  <c r="M155" i="1"/>
  <c r="N154" i="1"/>
  <c r="N159" i="1"/>
  <c r="P157" i="1"/>
  <c r="K156" i="1"/>
  <c r="L154" i="1"/>
  <c r="O158" i="1"/>
  <c r="P156" i="1"/>
  <c r="L155" i="1"/>
  <c r="O156" i="1"/>
  <c r="N158" i="1"/>
  <c r="P154" i="1"/>
  <c r="P155" i="1"/>
  <c r="M159" i="1"/>
  <c r="K154" i="1"/>
  <c r="N157" i="1"/>
  <c r="W109" i="1"/>
  <c r="S109" i="1"/>
  <c r="U108" i="1"/>
  <c r="W107" i="1"/>
  <c r="S107" i="1"/>
  <c r="U106" i="1"/>
  <c r="W105" i="1"/>
  <c r="S105" i="1"/>
  <c r="U104" i="1"/>
  <c r="U109" i="1"/>
  <c r="W108" i="1"/>
  <c r="S108" i="1"/>
  <c r="U107" i="1"/>
  <c r="W106" i="1"/>
  <c r="S106" i="1"/>
  <c r="U105" i="1"/>
  <c r="W104" i="1"/>
  <c r="S104" i="1"/>
  <c r="X108" i="1"/>
  <c r="V107" i="1"/>
  <c r="T106" i="1"/>
  <c r="X104" i="1"/>
  <c r="V109" i="1"/>
  <c r="T108" i="1"/>
  <c r="X106" i="1"/>
  <c r="V105" i="1"/>
  <c r="T104" i="1"/>
  <c r="X109" i="1"/>
  <c r="V108" i="1"/>
  <c r="T107" i="1"/>
  <c r="X105" i="1"/>
  <c r="V104" i="1"/>
  <c r="T109" i="1"/>
  <c r="X107" i="1"/>
  <c r="V106" i="1"/>
  <c r="T105" i="1"/>
  <c r="AM125" i="1"/>
  <c r="AI125" i="1"/>
  <c r="AK124" i="1"/>
  <c r="AM123" i="1"/>
  <c r="AI123" i="1"/>
  <c r="AK122" i="1"/>
  <c r="AM121" i="1"/>
  <c r="AI121" i="1"/>
  <c r="AK120" i="1"/>
  <c r="AK125" i="1"/>
  <c r="AL124" i="1"/>
  <c r="AL123" i="1"/>
  <c r="AM122" i="1"/>
  <c r="AN121" i="1"/>
  <c r="AN120" i="1"/>
  <c r="AI120" i="1"/>
  <c r="AL125" i="1"/>
  <c r="AJ124" i="1"/>
  <c r="AJ123" i="1"/>
  <c r="AI122" i="1"/>
  <c r="AM120" i="1"/>
  <c r="AN124" i="1"/>
  <c r="AN123" i="1"/>
  <c r="AL122" i="1"/>
  <c r="AK121" i="1"/>
  <c r="AJ120" i="1"/>
  <c r="AN125" i="1"/>
  <c r="AK123" i="1"/>
  <c r="AJ121" i="1"/>
  <c r="AM124" i="1"/>
  <c r="AJ122" i="1"/>
  <c r="AJ125" i="1"/>
  <c r="AN122" i="1"/>
  <c r="AL120" i="1"/>
  <c r="AI124" i="1"/>
  <c r="AL121" i="1"/>
  <c r="O109" i="1"/>
  <c r="K109" i="1"/>
  <c r="M108" i="1"/>
  <c r="O107" i="1"/>
  <c r="K107" i="1"/>
  <c r="M106" i="1"/>
  <c r="O105" i="1"/>
  <c r="K105" i="1"/>
  <c r="M104" i="1"/>
  <c r="M109" i="1"/>
  <c r="O108" i="1"/>
  <c r="K108" i="1"/>
  <c r="M107" i="1"/>
  <c r="O106" i="1"/>
  <c r="K106" i="1"/>
  <c r="M105" i="1"/>
  <c r="O104" i="1"/>
  <c r="K104" i="1"/>
  <c r="N109" i="1"/>
  <c r="L108" i="1"/>
  <c r="P106" i="1"/>
  <c r="N105" i="1"/>
  <c r="L104" i="1"/>
  <c r="P108" i="1"/>
  <c r="N107" i="1"/>
  <c r="L106" i="1"/>
  <c r="P104" i="1"/>
  <c r="L109" i="1"/>
  <c r="P107" i="1"/>
  <c r="N106" i="1"/>
  <c r="L105" i="1"/>
  <c r="P105" i="1"/>
  <c r="P109" i="1"/>
  <c r="N104" i="1"/>
  <c r="N108" i="1"/>
  <c r="L107" i="1"/>
  <c r="AA279" i="1"/>
  <c r="AE125" i="1"/>
  <c r="AA125" i="1"/>
  <c r="AC124" i="1"/>
  <c r="AE123" i="1"/>
  <c r="AA123" i="1"/>
  <c r="AC122" i="1"/>
  <c r="AE121" i="1"/>
  <c r="AA121" i="1"/>
  <c r="AC120" i="1"/>
  <c r="AD125" i="1"/>
  <c r="AE124" i="1"/>
  <c r="AF123" i="1"/>
  <c r="AF122" i="1"/>
  <c r="AA122" i="1"/>
  <c r="AB121" i="1"/>
  <c r="AB120" i="1"/>
  <c r="AF125" i="1"/>
  <c r="AD124" i="1"/>
  <c r="AC123" i="1"/>
  <c r="AB122" i="1"/>
  <c r="AF120" i="1"/>
  <c r="AB125" i="1"/>
  <c r="AA124" i="1"/>
  <c r="AE122" i="1"/>
  <c r="AD121" i="1"/>
  <c r="AD120" i="1"/>
  <c r="AD123" i="1"/>
  <c r="AC121" i="1"/>
  <c r="AF124" i="1"/>
  <c r="AD122" i="1"/>
  <c r="AA120" i="1"/>
  <c r="AC125" i="1"/>
  <c r="AB123" i="1"/>
  <c r="AE120" i="1"/>
  <c r="AF121" i="1"/>
  <c r="AB124" i="1"/>
  <c r="AC142" i="1"/>
  <c r="AE141" i="1"/>
  <c r="AA141" i="1"/>
  <c r="AC140" i="1"/>
  <c r="AE139" i="1"/>
  <c r="AA139" i="1"/>
  <c r="AC138" i="1"/>
  <c r="AE137" i="1"/>
  <c r="AA137" i="1"/>
  <c r="AB142" i="1"/>
  <c r="AC141" i="1"/>
  <c r="AD140" i="1"/>
  <c r="AD139" i="1"/>
  <c r="AE138" i="1"/>
  <c r="AF137" i="1"/>
  <c r="AE142" i="1"/>
  <c r="AF141" i="1"/>
  <c r="AF140" i="1"/>
  <c r="AA140" i="1"/>
  <c r="AB139" i="1"/>
  <c r="AB138" i="1"/>
  <c r="AC137" i="1"/>
  <c r="AA142" i="1"/>
  <c r="AB140" i="1"/>
  <c r="AD138" i="1"/>
  <c r="AF142" i="1"/>
  <c r="AB141" i="1"/>
  <c r="AC139" i="1"/>
  <c r="AD137" i="1"/>
  <c r="AD142" i="1"/>
  <c r="AF138" i="1"/>
  <c r="AE140" i="1"/>
  <c r="AB137" i="1"/>
  <c r="AD141" i="1"/>
  <c r="AA138" i="1"/>
  <c r="AF139" i="1"/>
  <c r="AE109" i="1"/>
  <c r="AA109" i="1"/>
  <c r="AC108" i="1"/>
  <c r="AE107" i="1"/>
  <c r="AA107" i="1"/>
  <c r="AC106" i="1"/>
  <c r="AE105" i="1"/>
  <c r="AA105" i="1"/>
  <c r="AC104" i="1"/>
  <c r="AC109" i="1"/>
  <c r="AE108" i="1"/>
  <c r="AA108" i="1"/>
  <c r="AC107" i="1"/>
  <c r="AE106" i="1"/>
  <c r="AA106" i="1"/>
  <c r="AC105" i="1"/>
  <c r="AE104" i="1"/>
  <c r="AA104" i="1"/>
  <c r="AD109" i="1"/>
  <c r="AB108" i="1"/>
  <c r="AF106" i="1"/>
  <c r="AD105" i="1"/>
  <c r="AB104" i="1"/>
  <c r="AF108" i="1"/>
  <c r="AD107" i="1"/>
  <c r="AB106" i="1"/>
  <c r="AF104" i="1"/>
  <c r="AB109" i="1"/>
  <c r="AF107" i="1"/>
  <c r="AD106" i="1"/>
  <c r="AB105" i="1"/>
  <c r="AB107" i="1"/>
  <c r="AF105" i="1"/>
  <c r="AF109" i="1"/>
  <c r="AD104" i="1"/>
  <c r="AD108" i="1"/>
  <c r="AU109" i="1"/>
  <c r="AQ109" i="1"/>
  <c r="AS108" i="1"/>
  <c r="AU107" i="1"/>
  <c r="AQ107" i="1"/>
  <c r="AS106" i="1"/>
  <c r="AU105" i="1"/>
  <c r="AQ105" i="1"/>
  <c r="AS104" i="1"/>
  <c r="AR109" i="1"/>
  <c r="AR108" i="1"/>
  <c r="AS107" i="1"/>
  <c r="AT106" i="1"/>
  <c r="AT105" i="1"/>
  <c r="AU104" i="1"/>
  <c r="AT109" i="1"/>
  <c r="AU108" i="1"/>
  <c r="AV107" i="1"/>
  <c r="AV106" i="1"/>
  <c r="AQ106" i="1"/>
  <c r="AR105" i="1"/>
  <c r="AR104" i="1"/>
  <c r="AV108" i="1"/>
  <c r="AR107" i="1"/>
  <c r="AS105" i="1"/>
  <c r="AV109" i="1"/>
  <c r="AQ108" i="1"/>
  <c r="AR106" i="1"/>
  <c r="AT104" i="1"/>
  <c r="AT108" i="1"/>
  <c r="AU106" i="1"/>
  <c r="AV104" i="1"/>
  <c r="AQ104" i="1"/>
  <c r="AS109" i="1"/>
  <c r="AT107" i="1"/>
  <c r="AV105" i="1"/>
  <c r="AS213" i="1"/>
  <c r="AU212" i="1"/>
  <c r="AQ212" i="1"/>
  <c r="AS211" i="1"/>
  <c r="AU210" i="1"/>
  <c r="AQ210" i="1"/>
  <c r="AS209" i="1"/>
  <c r="AU208" i="1"/>
  <c r="AQ208" i="1"/>
  <c r="AV213" i="1"/>
  <c r="AR213" i="1"/>
  <c r="AT212" i="1"/>
  <c r="AV211" i="1"/>
  <c r="AR211" i="1"/>
  <c r="AT210" i="1"/>
  <c r="AV209" i="1"/>
  <c r="AR209" i="1"/>
  <c r="AT208" i="1"/>
  <c r="AT213" i="1"/>
  <c r="AR212" i="1"/>
  <c r="AV210" i="1"/>
  <c r="AT209" i="1"/>
  <c r="AR208" i="1"/>
  <c r="AQ213" i="1"/>
  <c r="AT211" i="1"/>
  <c r="AU209" i="1"/>
  <c r="AV212" i="1"/>
  <c r="AQ211" i="1"/>
  <c r="AQ209" i="1"/>
  <c r="AU211" i="1"/>
  <c r="AS208" i="1"/>
  <c r="AS210" i="1"/>
  <c r="AV208" i="1"/>
  <c r="AU213" i="1"/>
  <c r="AS212" i="1"/>
  <c r="AR210" i="1"/>
  <c r="Z14" i="1"/>
  <c r="AA14" i="1" s="1"/>
  <c r="N30" i="1" l="1"/>
  <c r="M30" i="1"/>
  <c r="V298" i="1"/>
  <c r="Y10" i="1"/>
  <c r="AB15" i="1"/>
  <c r="Y298" i="1" l="1"/>
  <c r="Z298" i="1" s="1"/>
  <c r="V24" i="1"/>
  <c r="Y16" i="1"/>
  <c r="Z171" i="1" l="1" a="1"/>
  <c r="AP188" i="1" a="1"/>
  <c r="B188" i="1" a="1"/>
  <c r="AH188" i="1" a="1"/>
  <c r="BF171" i="1" a="1"/>
  <c r="BF188" i="1" a="1"/>
  <c r="AX188" i="1" a="1"/>
  <c r="Z188" i="1" a="1"/>
  <c r="B171" i="1" a="1"/>
  <c r="BN188" i="1" a="1"/>
  <c r="BN171" i="1" a="1"/>
  <c r="R188" i="1" a="1"/>
  <c r="J171" i="1" a="1"/>
  <c r="AH171" i="1" a="1"/>
  <c r="J188" i="1" a="1"/>
  <c r="R171" i="1" a="1"/>
  <c r="AX171" i="1" a="1"/>
  <c r="AP171" i="1" a="1"/>
  <c r="AB298" i="1"/>
  <c r="AD298" i="1" s="1"/>
  <c r="AC298" i="1" s="1"/>
  <c r="AA298" i="1"/>
  <c r="B154" i="1" a="1"/>
  <c r="J137" i="1" a="1"/>
  <c r="Z154" i="1" a="1"/>
  <c r="B137" i="1" a="1"/>
  <c r="AH154" i="1" a="1"/>
  <c r="AP137" i="1" a="1"/>
  <c r="AP87" i="1" a="1"/>
  <c r="AH87" i="1" a="1"/>
  <c r="Z137" i="1" a="1"/>
  <c r="Z104" i="1" a="1"/>
  <c r="B87" i="1" a="1"/>
  <c r="AP154" i="1" a="1"/>
  <c r="AP208" i="1" a="1"/>
  <c r="R137" i="1" a="1"/>
  <c r="B104" i="1" a="1"/>
  <c r="R154" i="1" a="1"/>
  <c r="AH104" i="1" a="1"/>
  <c r="J87" i="1" a="1"/>
  <c r="Z120" i="1" a="1"/>
  <c r="J104" i="1" a="1"/>
  <c r="R104" i="1" a="1"/>
  <c r="Z87" i="1" a="1"/>
  <c r="R120" i="1" a="1"/>
  <c r="V29" i="1"/>
  <c r="AP120" i="1" a="1"/>
  <c r="AH120" i="1" a="1"/>
  <c r="J154" i="1" a="1"/>
  <c r="B120" i="1" a="1"/>
  <c r="R87" i="1" a="1"/>
  <c r="AP104" i="1" a="1"/>
  <c r="J120" i="1" a="1"/>
  <c r="AH137" i="1" a="1"/>
  <c r="AP171" i="1" l="1"/>
  <c r="AP175" i="1"/>
  <c r="AT61" i="1" s="1"/>
  <c r="AP173" i="1"/>
  <c r="AT59" i="1" s="1"/>
  <c r="AP172" i="1"/>
  <c r="AT58" i="1" s="1"/>
  <c r="AP176" i="1"/>
  <c r="AT62" i="1" s="1"/>
  <c r="AP174" i="1"/>
  <c r="AT60" i="1" s="1"/>
  <c r="AH171" i="1"/>
  <c r="AS57" i="1" s="1"/>
  <c r="AS63" i="1" s="1"/>
  <c r="AH175" i="1"/>
  <c r="AS61" i="1" s="1"/>
  <c r="AH172" i="1"/>
  <c r="AS58" i="1" s="1"/>
  <c r="AH176" i="1"/>
  <c r="AS62" i="1" s="1"/>
  <c r="AH174" i="1"/>
  <c r="AH173" i="1"/>
  <c r="AS59" i="1" s="1"/>
  <c r="BN188" i="1"/>
  <c r="BN189" i="1"/>
  <c r="AR58" i="1" s="1"/>
  <c r="BN193" i="1"/>
  <c r="AR62" i="1" s="1"/>
  <c r="BN190" i="1"/>
  <c r="AR59" i="1" s="1"/>
  <c r="BN191" i="1"/>
  <c r="AR60" i="1" s="1"/>
  <c r="BN192" i="1"/>
  <c r="AR61" i="1" s="1"/>
  <c r="BF189" i="1"/>
  <c r="AQ58" i="1" s="1"/>
  <c r="BF193" i="1"/>
  <c r="AQ62" i="1" s="1"/>
  <c r="BF188" i="1"/>
  <c r="BF192" i="1"/>
  <c r="AQ61" i="1" s="1"/>
  <c r="BF191" i="1"/>
  <c r="AQ60" i="1" s="1"/>
  <c r="BF190" i="1"/>
  <c r="AQ59" i="1" s="1"/>
  <c r="AP189" i="1"/>
  <c r="AO58" i="1" s="1"/>
  <c r="AP193" i="1"/>
  <c r="AO62" i="1" s="1"/>
  <c r="AP191" i="1"/>
  <c r="AO60" i="1" s="1"/>
  <c r="AP192" i="1"/>
  <c r="AO61" i="1" s="1"/>
  <c r="AP188" i="1"/>
  <c r="AP190" i="1"/>
  <c r="AO59" i="1" s="1"/>
  <c r="AX172" i="1"/>
  <c r="AU58" i="1" s="1"/>
  <c r="AX175" i="1"/>
  <c r="AU61" i="1" s="1"/>
  <c r="AX176" i="1"/>
  <c r="AU62" i="1" s="1"/>
  <c r="AX173" i="1"/>
  <c r="AU59" i="1" s="1"/>
  <c r="AX174" i="1"/>
  <c r="AU60" i="1" s="1"/>
  <c r="AX171" i="1"/>
  <c r="AU57" i="1" s="1"/>
  <c r="J175" i="1"/>
  <c r="AI61" i="1" s="1"/>
  <c r="J172" i="1"/>
  <c r="AI58" i="1" s="1"/>
  <c r="J173" i="1"/>
  <c r="AI59" i="1" s="1"/>
  <c r="J176" i="1"/>
  <c r="AI62" i="1" s="1"/>
  <c r="J171" i="1"/>
  <c r="AI57" i="1" s="1"/>
  <c r="AI63" i="1" s="1"/>
  <c r="J174" i="1"/>
  <c r="AI60" i="1" s="1"/>
  <c r="B176" i="1"/>
  <c r="AG62" i="1" s="1"/>
  <c r="B172" i="1"/>
  <c r="AG58" i="1" s="1"/>
  <c r="B171" i="1"/>
  <c r="AG57" i="1" s="1"/>
  <c r="B174" i="1"/>
  <c r="AG60" i="1" s="1"/>
  <c r="B173" i="1"/>
  <c r="AG59" i="1" s="1"/>
  <c r="B175" i="1"/>
  <c r="AG61" i="1" s="1"/>
  <c r="BF175" i="1"/>
  <c r="AV61" i="1" s="1"/>
  <c r="BF172" i="1"/>
  <c r="AV58" i="1" s="1"/>
  <c r="BF176" i="1"/>
  <c r="AV62" i="1" s="1"/>
  <c r="BF173" i="1"/>
  <c r="AV59" i="1" s="1"/>
  <c r="BF171" i="1"/>
  <c r="BF174" i="1"/>
  <c r="AV60" i="1" s="1"/>
  <c r="Z173" i="1"/>
  <c r="AM59" i="1" s="1"/>
  <c r="Z176" i="1"/>
  <c r="AM62" i="1" s="1"/>
  <c r="Z171" i="1"/>
  <c r="Z174" i="1"/>
  <c r="AM60" i="1" s="1"/>
  <c r="Z172" i="1"/>
  <c r="AM58" i="1" s="1"/>
  <c r="Z175" i="1"/>
  <c r="AM61" i="1" s="1"/>
  <c r="R173" i="1"/>
  <c r="AK59" i="1" s="1"/>
  <c r="R171" i="1"/>
  <c r="AK57" i="1" s="1"/>
  <c r="R174" i="1"/>
  <c r="AK60" i="1" s="1"/>
  <c r="R176" i="1"/>
  <c r="AK62" i="1" s="1"/>
  <c r="R172" i="1"/>
  <c r="AK58" i="1" s="1"/>
  <c r="R175" i="1"/>
  <c r="AK61" i="1" s="1"/>
  <c r="R191" i="1"/>
  <c r="AJ60" i="1" s="1"/>
  <c r="R188" i="1"/>
  <c r="AJ57" i="1" s="1"/>
  <c r="R189" i="1"/>
  <c r="AJ58" i="1" s="1"/>
  <c r="R192" i="1"/>
  <c r="AJ61" i="1" s="1"/>
  <c r="R193" i="1"/>
  <c r="AJ62" i="1" s="1"/>
  <c r="R190" i="1"/>
  <c r="AJ59" i="1" s="1"/>
  <c r="Z188" i="1"/>
  <c r="Z191" i="1"/>
  <c r="AL60" i="1" s="1"/>
  <c r="Z189" i="1"/>
  <c r="AL58" i="1" s="1"/>
  <c r="Z190" i="1"/>
  <c r="AL59" i="1" s="1"/>
  <c r="Z193" i="1"/>
  <c r="AL62" i="1" s="1"/>
  <c r="Z192" i="1"/>
  <c r="AL61" i="1" s="1"/>
  <c r="AH190" i="1"/>
  <c r="AN59" i="1" s="1"/>
  <c r="AH193" i="1"/>
  <c r="AN62" i="1" s="1"/>
  <c r="AH189" i="1"/>
  <c r="AN58" i="1" s="1"/>
  <c r="AH191" i="1"/>
  <c r="AN60" i="1" s="1"/>
  <c r="AH188" i="1"/>
  <c r="AH192" i="1"/>
  <c r="AN61" i="1" s="1"/>
  <c r="J193" i="1"/>
  <c r="AH62" i="1" s="1"/>
  <c r="J191" i="1"/>
  <c r="AH60" i="1" s="1"/>
  <c r="J189" i="1"/>
  <c r="AH58" i="1" s="1"/>
  <c r="J188" i="1"/>
  <c r="J190" i="1"/>
  <c r="AH59" i="1" s="1"/>
  <c r="J192" i="1"/>
  <c r="AH61" i="1" s="1"/>
  <c r="BN172" i="1"/>
  <c r="AW58" i="1" s="1"/>
  <c r="BN176" i="1"/>
  <c r="AW62" i="1" s="1"/>
  <c r="BN174" i="1"/>
  <c r="AW60" i="1" s="1"/>
  <c r="BN173" i="1"/>
  <c r="AW59" i="1" s="1"/>
  <c r="BN171" i="1"/>
  <c r="BN175" i="1"/>
  <c r="AW61" i="1" s="1"/>
  <c r="AX193" i="1"/>
  <c r="AP62" i="1" s="1"/>
  <c r="AX190" i="1"/>
  <c r="AP59" i="1" s="1"/>
  <c r="AX192" i="1"/>
  <c r="AP61" i="1" s="1"/>
  <c r="AX189" i="1"/>
  <c r="AP58" i="1" s="1"/>
  <c r="AX191" i="1"/>
  <c r="AP60" i="1" s="1"/>
  <c r="AX188" i="1"/>
  <c r="B188" i="1"/>
  <c r="AF57" i="1" s="1"/>
  <c r="B192" i="1"/>
  <c r="AF61" i="1" s="1"/>
  <c r="B190" i="1"/>
  <c r="B193" i="1"/>
  <c r="AF62" i="1" s="1"/>
  <c r="B191" i="1"/>
  <c r="AF60" i="1" s="1"/>
  <c r="B189" i="1"/>
  <c r="AF58" i="1" s="1"/>
  <c r="AF59" i="1"/>
  <c r="AP109" i="1"/>
  <c r="M62" i="1" s="1"/>
  <c r="AP105" i="1"/>
  <c r="M58" i="1" s="1"/>
  <c r="AP104" i="1"/>
  <c r="M57" i="1" s="1"/>
  <c r="AP107" i="1"/>
  <c r="M60" i="1" s="1"/>
  <c r="AP108" i="1"/>
  <c r="M61" i="1" s="1"/>
  <c r="AP106" i="1"/>
  <c r="M59" i="1" s="1"/>
  <c r="B125" i="1"/>
  <c r="N62" i="1" s="1"/>
  <c r="B121" i="1"/>
  <c r="N58" i="1" s="1"/>
  <c r="B123" i="1"/>
  <c r="N60" i="1" s="1"/>
  <c r="B120" i="1"/>
  <c r="N57" i="1" s="1"/>
  <c r="B124" i="1"/>
  <c r="N61" i="1" s="1"/>
  <c r="B122" i="1"/>
  <c r="N59" i="1" s="1"/>
  <c r="AP125" i="1"/>
  <c r="S62" i="1" s="1"/>
  <c r="AP121" i="1"/>
  <c r="S58" i="1" s="1"/>
  <c r="AP120" i="1"/>
  <c r="S57" i="1" s="1"/>
  <c r="S63" i="1" s="1"/>
  <c r="AP123" i="1"/>
  <c r="S60" i="1" s="1"/>
  <c r="AP124" i="1"/>
  <c r="S61" i="1" s="1"/>
  <c r="AP122" i="1"/>
  <c r="S59" i="1" s="1"/>
  <c r="R109" i="1"/>
  <c r="J62" i="1" s="1"/>
  <c r="R105" i="1"/>
  <c r="J58" i="1" s="1"/>
  <c r="R107" i="1"/>
  <c r="J60" i="1" s="1"/>
  <c r="R108" i="1"/>
  <c r="J61" i="1" s="1"/>
  <c r="R104" i="1"/>
  <c r="J57" i="1" s="1"/>
  <c r="R106" i="1"/>
  <c r="J59" i="1" s="1"/>
  <c r="Z125" i="1"/>
  <c r="Q62" i="1" s="1"/>
  <c r="Z121" i="1"/>
  <c r="Q58" i="1" s="1"/>
  <c r="Z123" i="1"/>
  <c r="Q60" i="1" s="1"/>
  <c r="Z122" i="1"/>
  <c r="Q59" i="1" s="1"/>
  <c r="Z120" i="1"/>
  <c r="Q57" i="1" s="1"/>
  <c r="Z124" i="1"/>
  <c r="Q61" i="1" s="1"/>
  <c r="AP159" i="1"/>
  <c r="AE62" i="1" s="1"/>
  <c r="AP155" i="1"/>
  <c r="AE58" i="1" s="1"/>
  <c r="AP154" i="1"/>
  <c r="AE57" i="1" s="1"/>
  <c r="AE63" i="1" s="1"/>
  <c r="AP158" i="1"/>
  <c r="AE61" i="1" s="1"/>
  <c r="AP157" i="1"/>
  <c r="AE60" i="1" s="1"/>
  <c r="AP156" i="1"/>
  <c r="AE59" i="1" s="1"/>
  <c r="AH90" i="1"/>
  <c r="F60" i="1" s="1"/>
  <c r="AH88" i="1"/>
  <c r="F58" i="1" s="1"/>
  <c r="AH91" i="1"/>
  <c r="F61" i="1" s="1"/>
  <c r="AH92" i="1"/>
  <c r="F62" i="1" s="1"/>
  <c r="AH87" i="1"/>
  <c r="F57" i="1" s="1"/>
  <c r="AH89" i="1"/>
  <c r="F59" i="1" s="1"/>
  <c r="B140" i="1"/>
  <c r="T60" i="1" s="1"/>
  <c r="B142" i="1"/>
  <c r="T62" i="1" s="1"/>
  <c r="B137" i="1"/>
  <c r="T57" i="1" s="1"/>
  <c r="B139" i="1"/>
  <c r="T59" i="1" s="1"/>
  <c r="B141" i="1"/>
  <c r="T61" i="1" s="1"/>
  <c r="B138" i="1"/>
  <c r="T58" i="1" s="1"/>
  <c r="B159" i="1"/>
  <c r="Z62" i="1" s="1"/>
  <c r="B155" i="1"/>
  <c r="Z58" i="1" s="1"/>
  <c r="B156" i="1"/>
  <c r="Z59" i="1" s="1"/>
  <c r="B154" i="1"/>
  <c r="Z57" i="1" s="1"/>
  <c r="B158" i="1"/>
  <c r="Z61" i="1" s="1"/>
  <c r="B157" i="1"/>
  <c r="Z60" i="1" s="1"/>
  <c r="J159" i="1"/>
  <c r="AA62" i="1" s="1"/>
  <c r="J155" i="1"/>
  <c r="AA58" i="1" s="1"/>
  <c r="J154" i="1"/>
  <c r="AA57" i="1" s="1"/>
  <c r="J158" i="1"/>
  <c r="AA61" i="1" s="1"/>
  <c r="J157" i="1"/>
  <c r="AA60" i="1" s="1"/>
  <c r="J156" i="1"/>
  <c r="AA59" i="1" s="1"/>
  <c r="J109" i="1"/>
  <c r="I62" i="1" s="1"/>
  <c r="J105" i="1"/>
  <c r="I58" i="1" s="1"/>
  <c r="J107" i="1"/>
  <c r="I60" i="1" s="1"/>
  <c r="J104" i="1"/>
  <c r="I57" i="1" s="1"/>
  <c r="J108" i="1"/>
  <c r="I61" i="1" s="1"/>
  <c r="J106" i="1"/>
  <c r="I59" i="1" s="1"/>
  <c r="J90" i="1"/>
  <c r="C60" i="1" s="1"/>
  <c r="J92" i="1"/>
  <c r="C62" i="1" s="1"/>
  <c r="J87" i="1"/>
  <c r="C57" i="1" s="1"/>
  <c r="J89" i="1"/>
  <c r="C59" i="1" s="1"/>
  <c r="J91" i="1"/>
  <c r="C61" i="1" s="1"/>
  <c r="J88" i="1"/>
  <c r="C58" i="1" s="1"/>
  <c r="B90" i="1"/>
  <c r="B60" i="1" s="1"/>
  <c r="B88" i="1"/>
  <c r="B58" i="1" s="1"/>
  <c r="B91" i="1"/>
  <c r="B61" i="1" s="1"/>
  <c r="B92" i="1"/>
  <c r="B62" i="1" s="1"/>
  <c r="B87" i="1"/>
  <c r="B57" i="1" s="1"/>
  <c r="B89" i="1"/>
  <c r="B59" i="1" s="1"/>
  <c r="AP90" i="1"/>
  <c r="G60" i="1" s="1"/>
  <c r="AP92" i="1"/>
  <c r="G62" i="1" s="1"/>
  <c r="AP87" i="1"/>
  <c r="G57" i="1" s="1"/>
  <c r="AP89" i="1"/>
  <c r="G59" i="1" s="1"/>
  <c r="AP91" i="1"/>
  <c r="G61" i="1" s="1"/>
  <c r="AP88" i="1"/>
  <c r="G58" i="1" s="1"/>
  <c r="AP140" i="1"/>
  <c r="Y60" i="1" s="1"/>
  <c r="AP141" i="1"/>
  <c r="Y61" i="1" s="1"/>
  <c r="AP138" i="1"/>
  <c r="Y58" i="1" s="1"/>
  <c r="AP139" i="1"/>
  <c r="Y59" i="1" s="1"/>
  <c r="AP142" i="1"/>
  <c r="Y62" i="1" s="1"/>
  <c r="AP137" i="1"/>
  <c r="Y57" i="1" s="1"/>
  <c r="Y63" i="1" s="1"/>
  <c r="Z159" i="1"/>
  <c r="AC62" i="1" s="1"/>
  <c r="Z155" i="1"/>
  <c r="AC58" i="1" s="1"/>
  <c r="Z157" i="1"/>
  <c r="AC60" i="1" s="1"/>
  <c r="Z156" i="1"/>
  <c r="AC59" i="1" s="1"/>
  <c r="Z154" i="1"/>
  <c r="AC57" i="1" s="1"/>
  <c r="AC63" i="1" s="1"/>
  <c r="Z158" i="1"/>
  <c r="AC61" i="1" s="1"/>
  <c r="AH140" i="1"/>
  <c r="X60" i="1" s="1"/>
  <c r="AH142" i="1"/>
  <c r="X62" i="1" s="1"/>
  <c r="AH137" i="1"/>
  <c r="X57" i="1" s="1"/>
  <c r="AH139" i="1"/>
  <c r="X59" i="1" s="1"/>
  <c r="AH141" i="1"/>
  <c r="X61" i="1" s="1"/>
  <c r="AH138" i="1"/>
  <c r="X58" i="1" s="1"/>
  <c r="AS60" i="1"/>
  <c r="R125" i="1"/>
  <c r="P62" i="1" s="1"/>
  <c r="R121" i="1"/>
  <c r="P58" i="1" s="1"/>
  <c r="R124" i="1"/>
  <c r="P61" i="1" s="1"/>
  <c r="R120" i="1"/>
  <c r="P57" i="1" s="1"/>
  <c r="R123" i="1"/>
  <c r="P60" i="1" s="1"/>
  <c r="R122" i="1"/>
  <c r="P59" i="1" s="1"/>
  <c r="AH109" i="1"/>
  <c r="L62" i="1" s="1"/>
  <c r="AH105" i="1"/>
  <c r="L58" i="1" s="1"/>
  <c r="AH107" i="1"/>
  <c r="L60" i="1" s="1"/>
  <c r="AH108" i="1"/>
  <c r="L61" i="1" s="1"/>
  <c r="AH104" i="1"/>
  <c r="L57" i="1" s="1"/>
  <c r="AH106" i="1"/>
  <c r="L59" i="1" s="1"/>
  <c r="B109" i="1"/>
  <c r="H62" i="1" s="1"/>
  <c r="B105" i="1"/>
  <c r="H58" i="1" s="1"/>
  <c r="B107" i="1"/>
  <c r="H60" i="1" s="1"/>
  <c r="B108" i="1"/>
  <c r="H61" i="1" s="1"/>
  <c r="B104" i="1"/>
  <c r="H57" i="1" s="1"/>
  <c r="B106" i="1"/>
  <c r="H59" i="1" s="1"/>
  <c r="Z109" i="1"/>
  <c r="K62" i="1" s="1"/>
  <c r="Z105" i="1"/>
  <c r="K58" i="1" s="1"/>
  <c r="Z107" i="1"/>
  <c r="K60" i="1" s="1"/>
  <c r="Z104" i="1"/>
  <c r="K57" i="1" s="1"/>
  <c r="Z108" i="1"/>
  <c r="K61" i="1" s="1"/>
  <c r="Z106" i="1"/>
  <c r="K59" i="1" s="1"/>
  <c r="AW57" i="1"/>
  <c r="J125" i="1"/>
  <c r="O62" i="1" s="1"/>
  <c r="J121" i="1"/>
  <c r="O58" i="1" s="1"/>
  <c r="J120" i="1"/>
  <c r="O57" i="1" s="1"/>
  <c r="J122" i="1"/>
  <c r="O59" i="1" s="1"/>
  <c r="J124" i="1"/>
  <c r="O61" i="1" s="1"/>
  <c r="J123" i="1"/>
  <c r="O60" i="1" s="1"/>
  <c r="R90" i="1"/>
  <c r="D60" i="1" s="1"/>
  <c r="R91" i="1"/>
  <c r="D61" i="1" s="1"/>
  <c r="R88" i="1"/>
  <c r="D58" i="1" s="1"/>
  <c r="R89" i="1"/>
  <c r="D59" i="1" s="1"/>
  <c r="R92" i="1"/>
  <c r="D62" i="1" s="1"/>
  <c r="R87" i="1"/>
  <c r="D57" i="1" s="1"/>
  <c r="AH125" i="1"/>
  <c r="R62" i="1" s="1"/>
  <c r="AH121" i="1"/>
  <c r="R58" i="1" s="1"/>
  <c r="AH122" i="1"/>
  <c r="R59" i="1" s="1"/>
  <c r="AH124" i="1"/>
  <c r="R61" i="1" s="1"/>
  <c r="AH120" i="1"/>
  <c r="R57" i="1" s="1"/>
  <c r="AH123" i="1"/>
  <c r="R60" i="1" s="1"/>
  <c r="Z90" i="1"/>
  <c r="E60" i="1" s="1"/>
  <c r="Z89" i="1"/>
  <c r="E59" i="1" s="1"/>
  <c r="Z92" i="1"/>
  <c r="E62" i="1" s="1"/>
  <c r="Z87" i="1"/>
  <c r="E57" i="1" s="1"/>
  <c r="Z88" i="1"/>
  <c r="E58" i="1" s="1"/>
  <c r="Z91" i="1"/>
  <c r="E61" i="1" s="1"/>
  <c r="R159" i="1"/>
  <c r="AB62" i="1" s="1"/>
  <c r="R155" i="1"/>
  <c r="AB58" i="1" s="1"/>
  <c r="R158" i="1"/>
  <c r="AB61" i="1" s="1"/>
  <c r="R157" i="1"/>
  <c r="AB60" i="1" s="1"/>
  <c r="R156" i="1"/>
  <c r="AB59" i="1" s="1"/>
  <c r="R154" i="1"/>
  <c r="AB57" i="1" s="1"/>
  <c r="AB63" i="1" s="1"/>
  <c r="R140" i="1"/>
  <c r="V60" i="1" s="1"/>
  <c r="R139" i="1"/>
  <c r="V59" i="1" s="1"/>
  <c r="R142" i="1"/>
  <c r="V62" i="1" s="1"/>
  <c r="R137" i="1"/>
  <c r="V57" i="1" s="1"/>
  <c r="R138" i="1"/>
  <c r="V58" i="1" s="1"/>
  <c r="R141" i="1"/>
  <c r="V61" i="1" s="1"/>
  <c r="AP211" i="1"/>
  <c r="AP210" i="1"/>
  <c r="AP208" i="1"/>
  <c r="AP213" i="1"/>
  <c r="AP212" i="1"/>
  <c r="AP209" i="1"/>
  <c r="Z140" i="1"/>
  <c r="W60" i="1" s="1"/>
  <c r="Z138" i="1"/>
  <c r="W58" i="1" s="1"/>
  <c r="Z141" i="1"/>
  <c r="W61" i="1" s="1"/>
  <c r="Z142" i="1"/>
  <c r="W62" i="1" s="1"/>
  <c r="Z137" i="1"/>
  <c r="W57" i="1" s="1"/>
  <c r="Z139" i="1"/>
  <c r="W59" i="1" s="1"/>
  <c r="AH159" i="1"/>
  <c r="AD62" i="1" s="1"/>
  <c r="AH155" i="1"/>
  <c r="AD58" i="1" s="1"/>
  <c r="AH156" i="1"/>
  <c r="AD59" i="1" s="1"/>
  <c r="AH154" i="1"/>
  <c r="AD57" i="1" s="1"/>
  <c r="AD63" i="1" s="1"/>
  <c r="AH158" i="1"/>
  <c r="AD61" i="1" s="1"/>
  <c r="AH157" i="1"/>
  <c r="AD60" i="1" s="1"/>
  <c r="J140" i="1"/>
  <c r="U60" i="1" s="1"/>
  <c r="J141" i="1"/>
  <c r="U61" i="1" s="1"/>
  <c r="J138" i="1"/>
  <c r="U58" i="1" s="1"/>
  <c r="J139" i="1"/>
  <c r="U59" i="1" s="1"/>
  <c r="J137" i="1"/>
  <c r="U57" i="1" s="1"/>
  <c r="J142" i="1"/>
  <c r="U62" i="1" s="1"/>
  <c r="AX194" i="1" l="1"/>
  <c r="R177" i="1"/>
  <c r="Z194" i="1"/>
  <c r="Z177" i="1"/>
  <c r="BF177" i="1"/>
  <c r="B177" i="1"/>
  <c r="J177" i="1"/>
  <c r="AP194" i="1"/>
  <c r="BF194" i="1"/>
  <c r="BN194" i="1"/>
  <c r="AP177" i="1"/>
  <c r="AO57" i="1"/>
  <c r="AO63" i="1" s="1"/>
  <c r="J194" i="1"/>
  <c r="R194" i="1"/>
  <c r="AX177" i="1"/>
  <c r="AT57" i="1"/>
  <c r="AT63" i="1" s="1"/>
  <c r="AV57" i="1"/>
  <c r="AV63" i="1" s="1"/>
  <c r="AM57" i="1"/>
  <c r="AM63" i="1" s="1"/>
  <c r="B194" i="1"/>
  <c r="BN177" i="1"/>
  <c r="AH194" i="1"/>
  <c r="AH177" i="1"/>
  <c r="AW63" i="1"/>
  <c r="AQ57" i="1"/>
  <c r="AQ63" i="1" s="1"/>
  <c r="AN57" i="1"/>
  <c r="AN63" i="1" s="1"/>
  <c r="AH57" i="1"/>
  <c r="AH63" i="1" s="1"/>
  <c r="AR57" i="1"/>
  <c r="AR63" i="1" s="1"/>
  <c r="AL57" i="1"/>
  <c r="AL63" i="1" s="1"/>
  <c r="AP57" i="1"/>
  <c r="AP63" i="1" s="1"/>
  <c r="V63" i="1"/>
  <c r="D63" i="1"/>
  <c r="AK63" i="1"/>
  <c r="K63" i="1"/>
  <c r="Z63" i="1"/>
  <c r="N63" i="1"/>
  <c r="AG63" i="1"/>
  <c r="U63" i="1"/>
  <c r="O63" i="1"/>
  <c r="L63" i="1"/>
  <c r="AF63" i="1"/>
  <c r="G63" i="1"/>
  <c r="B63" i="1"/>
  <c r="C63" i="1"/>
  <c r="AA63" i="1"/>
  <c r="F63" i="1"/>
  <c r="Q63" i="1"/>
  <c r="M63" i="1"/>
  <c r="E63" i="1"/>
  <c r="P63" i="1"/>
  <c r="I63" i="1"/>
  <c r="AU63" i="1"/>
  <c r="AJ63" i="1"/>
  <c r="W63" i="1"/>
  <c r="R63" i="1"/>
  <c r="H63" i="1"/>
  <c r="X63" i="1"/>
  <c r="T63" i="1"/>
  <c r="J63" i="1"/>
  <c r="Z93" i="1"/>
  <c r="R126" i="1"/>
  <c r="AH160" i="1"/>
  <c r="R143" i="1"/>
  <c r="R160" i="1"/>
  <c r="R93" i="1"/>
  <c r="Z110" i="1"/>
  <c r="AP143" i="1"/>
  <c r="B160" i="1"/>
  <c r="B126" i="1"/>
  <c r="J143" i="1"/>
  <c r="J126" i="1"/>
  <c r="AH110" i="1"/>
  <c r="AP93" i="1"/>
  <c r="B93" i="1"/>
  <c r="J93" i="1"/>
  <c r="J160" i="1"/>
  <c r="AH93" i="1"/>
  <c r="AP160" i="1"/>
  <c r="Z126" i="1"/>
  <c r="AP110" i="1"/>
  <c r="J110" i="1"/>
  <c r="Z143" i="1"/>
  <c r="AP214" i="1"/>
  <c r="AH126" i="1"/>
  <c r="B110" i="1"/>
  <c r="AH143" i="1"/>
  <c r="Z160" i="1"/>
  <c r="B143" i="1"/>
  <c r="R110" i="1"/>
  <c r="AP126" i="1"/>
  <c r="R21" i="1" l="1"/>
  <c r="R24" i="1"/>
  <c r="M25" i="1" s="1"/>
  <c r="S24" i="1"/>
  <c r="N25" i="1" s="1"/>
  <c r="R22" i="1"/>
  <c r="M23" i="1" s="1"/>
  <c r="S26" i="1"/>
  <c r="R23" i="1"/>
  <c r="M24" i="1" s="1"/>
  <c r="S21" i="1"/>
  <c r="R26" i="1"/>
  <c r="M27" i="1" s="1"/>
  <c r="R25" i="1"/>
  <c r="S25" i="1"/>
  <c r="N26" i="1" s="1"/>
  <c r="S22" i="1"/>
  <c r="S23" i="1"/>
  <c r="N24" i="1" s="1"/>
  <c r="N27" i="1"/>
  <c r="M26" i="1"/>
  <c r="N23" i="1"/>
  <c r="N22" i="1"/>
  <c r="M22" i="1"/>
  <c r="S27" i="1" l="1"/>
  <c r="S32" i="1"/>
  <c r="S35" i="1"/>
  <c r="S36" i="1"/>
  <c r="S33" i="1"/>
  <c r="S34" i="1"/>
  <c r="S28" i="1" l="1"/>
  <c r="N31" i="1" s="1"/>
  <c r="V28" i="1"/>
  <c r="W315" i="1" s="1"/>
  <c r="T36" i="1" l="1"/>
  <c r="T33" i="1"/>
  <c r="U36" i="1"/>
  <c r="U33" i="1"/>
  <c r="T32" i="1"/>
  <c r="T34" i="1"/>
  <c r="Y315" i="1"/>
  <c r="AA315" i="1" s="1"/>
  <c r="T35" i="1"/>
  <c r="U34" i="1"/>
  <c r="U32" i="1"/>
  <c r="U35" i="1"/>
  <c r="S30" i="1" l="1"/>
  <c r="N33" i="1" s="1"/>
  <c r="S29" i="1"/>
  <c r="N32" i="1" s="1"/>
  <c r="AB315" i="1"/>
  <c r="AD315" i="1" s="1"/>
  <c r="Z315" i="1"/>
  <c r="AC315" i="1" l="1"/>
  <c r="L204" i="2"/>
  <c r="BG205" i="2" a="1"/>
  <c r="BK205" i="2" s="1"/>
  <c r="BH204" i="2"/>
  <c r="BA204" i="2"/>
  <c r="BB204" i="2"/>
  <c r="E204" i="2"/>
  <c r="BD204" i="2"/>
  <c r="AD204" i="2"/>
  <c r="P204" i="2"/>
  <c r="BC204" i="2"/>
  <c r="M204" i="2"/>
  <c r="AI205" i="2" a="1"/>
  <c r="AM205" i="2" s="1"/>
  <c r="AJ204" i="2"/>
  <c r="W204" i="2"/>
  <c r="G204" i="2"/>
  <c r="BR204" i="2"/>
  <c r="AN204" i="2"/>
  <c r="AC204" i="2"/>
  <c r="BL204" i="2"/>
  <c r="AF204" i="2"/>
  <c r="F204" i="2"/>
  <c r="X204" i="2"/>
  <c r="AR204" i="2"/>
  <c r="AQ205" i="2" a="1"/>
  <c r="AS205" i="2" s="1"/>
  <c r="AE204" i="2"/>
  <c r="AA205" i="2" a="1"/>
  <c r="AF206" i="2" s="1"/>
  <c r="AB204" i="2"/>
  <c r="AY205" i="2" a="1"/>
  <c r="AZ208" i="2" s="1"/>
  <c r="AZ204" i="2"/>
  <c r="BP204" i="2"/>
  <c r="BO205" i="2" a="1"/>
  <c r="BS208" i="2" s="1"/>
  <c r="H204" i="2"/>
  <c r="V204" i="2"/>
  <c r="AM204" i="2"/>
  <c r="BS204" i="2"/>
  <c r="N204" i="2"/>
  <c r="AT204" i="2"/>
  <c r="O204" i="2"/>
  <c r="U204" i="2"/>
  <c r="BI204" i="2"/>
  <c r="AK204" i="2"/>
  <c r="BT204" i="2"/>
  <c r="BQ204" i="2"/>
  <c r="BK204" i="2"/>
  <c r="K205" i="2" a="1"/>
  <c r="N206" i="2" s="1"/>
  <c r="BJ204" i="2"/>
  <c r="AV204" i="2"/>
  <c r="C205" i="2" a="1"/>
  <c r="C208" i="2" s="1"/>
  <c r="AL204" i="2"/>
  <c r="S205" i="2" a="1"/>
  <c r="AU204" i="2"/>
  <c r="AY205" i="2" l="1"/>
  <c r="BH210" i="2"/>
  <c r="BI205" i="2"/>
  <c r="BG208" i="2"/>
  <c r="BG205" i="2"/>
  <c r="BJ208" i="2"/>
  <c r="BJ207" i="2"/>
  <c r="BH207" i="2"/>
  <c r="BJ205" i="2"/>
  <c r="BD209" i="2"/>
  <c r="BD208" i="2"/>
  <c r="AR205" i="2"/>
  <c r="AV205" i="2"/>
  <c r="AT208" i="2"/>
  <c r="AQ209" i="2"/>
  <c r="AS209" i="2"/>
  <c r="AU209" i="2"/>
  <c r="AT210" i="2"/>
  <c r="AR209" i="2"/>
  <c r="AJ209" i="2"/>
  <c r="AD210" i="2"/>
  <c r="AC210" i="2"/>
  <c r="AC207" i="2"/>
  <c r="AF209" i="2"/>
  <c r="AB209" i="2"/>
  <c r="AC206" i="2"/>
  <c r="AC209" i="2"/>
  <c r="AE208" i="2"/>
  <c r="AF208" i="2"/>
  <c r="M209" i="2"/>
  <c r="L208" i="2"/>
  <c r="L206" i="2"/>
  <c r="N209" i="2"/>
  <c r="K205" i="2"/>
  <c r="P210" i="2"/>
  <c r="M205" i="2"/>
  <c r="O210" i="2"/>
  <c r="M206" i="2"/>
  <c r="G209" i="2"/>
  <c r="V207" i="2"/>
  <c r="X205" i="2"/>
  <c r="W205" i="2"/>
  <c r="S209" i="2"/>
  <c r="U210" i="2"/>
  <c r="T208" i="2"/>
  <c r="U206" i="2"/>
  <c r="V208" i="2"/>
  <c r="X209" i="2"/>
  <c r="T210" i="2"/>
  <c r="V206" i="2"/>
  <c r="X207" i="2"/>
  <c r="S210" i="2"/>
  <c r="X206" i="2"/>
  <c r="S206" i="2"/>
  <c r="S207" i="2"/>
  <c r="W210" i="2"/>
  <c r="S208" i="2"/>
  <c r="W207" i="2"/>
  <c r="T206" i="2"/>
  <c r="W208" i="2"/>
  <c r="T207" i="2"/>
  <c r="W206" i="2"/>
  <c r="U205" i="2"/>
  <c r="V209" i="2"/>
  <c r="V210" i="2"/>
  <c r="AI205" i="2"/>
  <c r="BS209" i="2"/>
  <c r="D205" i="2"/>
  <c r="H207" i="2"/>
  <c r="D207" i="2"/>
  <c r="F206" i="2"/>
  <c r="G205" i="2"/>
  <c r="C207" i="2"/>
  <c r="G207" i="2"/>
  <c r="H206" i="2"/>
  <c r="F208" i="2"/>
  <c r="C206" i="2"/>
  <c r="E209" i="2"/>
  <c r="C209" i="2"/>
  <c r="H210" i="2"/>
  <c r="C205" i="2"/>
  <c r="F207" i="2"/>
  <c r="F205" i="2"/>
  <c r="G208" i="2"/>
  <c r="H209" i="2"/>
  <c r="D210" i="2"/>
  <c r="D209" i="2"/>
  <c r="E210" i="2"/>
  <c r="F210" i="2"/>
  <c r="F209" i="2"/>
  <c r="D206" i="2"/>
  <c r="C210" i="2"/>
  <c r="H205" i="2"/>
  <c r="E206" i="2"/>
  <c r="G210" i="2"/>
  <c r="E208" i="2"/>
  <c r="E205" i="2"/>
  <c r="G206" i="2"/>
  <c r="T205" i="2"/>
  <c r="S205" i="2"/>
  <c r="W209" i="2"/>
  <c r="BO208" i="2"/>
  <c r="E207" i="2"/>
  <c r="H208" i="2"/>
  <c r="BR206" i="2"/>
  <c r="BP210" i="2"/>
  <c r="BT207" i="2"/>
  <c r="BT205" i="2"/>
  <c r="BR208" i="2"/>
  <c r="BR209" i="2"/>
  <c r="BQ207" i="2"/>
  <c r="BS205" i="2"/>
  <c r="BQ209" i="2"/>
  <c r="BS207" i="2"/>
  <c r="BP209" i="2"/>
  <c r="BR205" i="2"/>
  <c r="BP207" i="2"/>
  <c r="BQ208" i="2"/>
  <c r="BT209" i="2"/>
  <c r="BS210" i="2"/>
  <c r="BO206" i="2"/>
  <c r="BR210" i="2"/>
  <c r="BO207" i="2"/>
  <c r="BO210" i="2"/>
  <c r="BP205" i="2"/>
  <c r="BT206" i="2"/>
  <c r="BP208" i="2"/>
  <c r="BQ206" i="2"/>
  <c r="BT210" i="2"/>
  <c r="BO209" i="2"/>
  <c r="BT208" i="2"/>
  <c r="BQ205" i="2"/>
  <c r="BR207" i="2"/>
  <c r="BP206" i="2"/>
  <c r="BS206" i="2"/>
  <c r="U207" i="2"/>
  <c r="T209" i="2"/>
  <c r="V205" i="2"/>
  <c r="X210" i="2"/>
  <c r="BO205" i="2"/>
  <c r="AN207" i="2"/>
  <c r="AK206" i="2"/>
  <c r="AL206" i="2"/>
  <c r="AI208" i="2"/>
  <c r="AL205" i="2"/>
  <c r="AN206" i="2"/>
  <c r="AK205" i="2"/>
  <c r="AJ207" i="2"/>
  <c r="AL209" i="2"/>
  <c r="AJ206" i="2"/>
  <c r="AM206" i="2"/>
  <c r="AK208" i="2"/>
  <c r="AI210" i="2"/>
  <c r="AL210" i="2"/>
  <c r="AI207" i="2"/>
  <c r="AK207" i="2"/>
  <c r="AJ208" i="2"/>
  <c r="AJ205" i="2"/>
  <c r="AN205" i="2"/>
  <c r="AM209" i="2"/>
  <c r="AK209" i="2"/>
  <c r="AI206" i="2"/>
  <c r="AM208" i="2"/>
  <c r="AI209" i="2"/>
  <c r="AN209" i="2"/>
  <c r="AM207" i="2"/>
  <c r="AM210" i="2"/>
  <c r="AK210" i="2"/>
  <c r="AL208" i="2"/>
  <c r="AJ210" i="2"/>
  <c r="AL207" i="2"/>
  <c r="AN210" i="2"/>
  <c r="X208" i="2"/>
  <c r="U208" i="2"/>
  <c r="U209" i="2"/>
  <c r="AN208" i="2"/>
  <c r="BQ210" i="2"/>
  <c r="D208" i="2"/>
  <c r="BC205" i="2"/>
  <c r="AZ205" i="2"/>
  <c r="BC208" i="2"/>
  <c r="BB210" i="2"/>
  <c r="BD206" i="2"/>
  <c r="BD207" i="2"/>
  <c r="BA208" i="2"/>
  <c r="AY208" i="2"/>
  <c r="AY209" i="2"/>
  <c r="BA209" i="2"/>
  <c r="AZ206" i="2"/>
  <c r="AZ209" i="2"/>
  <c r="AY210" i="2"/>
  <c r="BD205" i="2"/>
  <c r="AY206" i="2"/>
  <c r="BC207" i="2"/>
  <c r="BA210" i="2"/>
  <c r="BC210" i="2"/>
  <c r="AQ210" i="2"/>
  <c r="AT207" i="2"/>
  <c r="AQ205" i="2"/>
  <c r="AR206" i="2"/>
  <c r="AT206" i="2"/>
  <c r="AQ206" i="2"/>
  <c r="AU206" i="2"/>
  <c r="AV209" i="2"/>
  <c r="AS207" i="2"/>
  <c r="AU207" i="2"/>
  <c r="AR208" i="2"/>
  <c r="AT205" i="2"/>
  <c r="AR210" i="2"/>
  <c r="AT209" i="2"/>
  <c r="AU205" i="2"/>
  <c r="AQ207" i="2"/>
  <c r="AQ208" i="2"/>
  <c r="AS210" i="2"/>
  <c r="BH206" i="2"/>
  <c r="BK206" i="2"/>
  <c r="BL209" i="2"/>
  <c r="BJ210" i="2"/>
  <c r="BL205" i="2"/>
  <c r="BH205" i="2"/>
  <c r="BJ209" i="2"/>
  <c r="BL210" i="2"/>
  <c r="BG207" i="2"/>
  <c r="BL206" i="2"/>
  <c r="BJ206" i="2"/>
  <c r="BK210" i="2"/>
  <c r="BI206" i="2"/>
  <c r="BL208" i="2"/>
  <c r="BI210" i="2"/>
  <c r="BK209" i="2"/>
  <c r="BK208" i="2"/>
  <c r="BK207" i="2"/>
  <c r="K206" i="2"/>
  <c r="K209" i="2"/>
  <c r="M208" i="2"/>
  <c r="BD210" i="2"/>
  <c r="BC206" i="2"/>
  <c r="AY207" i="2"/>
  <c r="BB207" i="2"/>
  <c r="BA205" i="2"/>
  <c r="AU208" i="2"/>
  <c r="AV208" i="2"/>
  <c r="AV207" i="2"/>
  <c r="AV206" i="2"/>
  <c r="BG206" i="2"/>
  <c r="BG210" i="2"/>
  <c r="BL207" i="2"/>
  <c r="BG209" i="2"/>
  <c r="BI208" i="2"/>
  <c r="AB206" i="2"/>
  <c r="AF210" i="2"/>
  <c r="AA210" i="2"/>
  <c r="BA207" i="2"/>
  <c r="AZ207" i="2"/>
  <c r="BC209" i="2"/>
  <c r="BB208" i="2"/>
  <c r="BB209" i="2"/>
  <c r="N208" i="2"/>
  <c r="P208" i="2"/>
  <c r="L207" i="2"/>
  <c r="L209" i="2"/>
  <c r="M210" i="2"/>
  <c r="O209" i="2"/>
  <c r="O208" i="2"/>
  <c r="K207" i="2"/>
  <c r="P209" i="2"/>
  <c r="O207" i="2"/>
  <c r="L210" i="2"/>
  <c r="O205" i="2"/>
  <c r="L205" i="2"/>
  <c r="N205" i="2"/>
  <c r="N207" i="2"/>
  <c r="K208" i="2"/>
  <c r="P207" i="2"/>
  <c r="P205" i="2"/>
  <c r="AD207" i="2"/>
  <c r="AB205" i="2"/>
  <c r="AB207" i="2"/>
  <c r="AC208" i="2"/>
  <c r="AA205" i="2"/>
  <c r="AA206" i="2"/>
  <c r="AF207" i="2"/>
  <c r="AC205" i="2"/>
  <c r="AD209" i="2"/>
  <c r="AE207" i="2"/>
  <c r="AF205" i="2"/>
  <c r="AE209" i="2"/>
  <c r="AD205" i="2"/>
  <c r="AE210" i="2"/>
  <c r="AB210" i="2"/>
  <c r="AD206" i="2"/>
  <c r="AD208" i="2"/>
  <c r="AA209" i="2"/>
  <c r="O206" i="2"/>
  <c r="M207" i="2"/>
  <c r="K210" i="2"/>
  <c r="N210" i="2"/>
  <c r="P206" i="2"/>
  <c r="BB206" i="2"/>
  <c r="BB205" i="2"/>
  <c r="BA206" i="2"/>
  <c r="AZ210" i="2"/>
  <c r="AV210" i="2"/>
  <c r="AS206" i="2"/>
  <c r="AR207" i="2"/>
  <c r="AU210" i="2"/>
  <c r="AS208" i="2"/>
  <c r="BH208" i="2"/>
  <c r="BH209" i="2"/>
  <c r="BI207" i="2"/>
  <c r="BI209" i="2"/>
  <c r="AE206" i="2"/>
  <c r="AB208" i="2"/>
  <c r="AA208" i="2"/>
  <c r="AE205" i="2"/>
  <c r="AA207" i="2"/>
  <c r="AX205" i="2" l="1" a="1"/>
  <c r="AX205" i="2" s="1"/>
  <c r="AX207" i="2"/>
  <c r="Z205" i="2" a="1"/>
  <c r="BN205" i="2" a="1"/>
  <c r="R205" i="2" a="1"/>
  <c r="AP205" i="2" a="1"/>
  <c r="J205" i="2" a="1"/>
  <c r="AH205" i="2" a="1"/>
  <c r="B205" i="2" a="1"/>
  <c r="BF205" i="2" a="1"/>
  <c r="AX209" i="2" l="1"/>
  <c r="AX208" i="2"/>
  <c r="AX206" i="2"/>
  <c r="AX210" i="2"/>
  <c r="BN207" i="2"/>
  <c r="BN208" i="2"/>
  <c r="BN209" i="2"/>
  <c r="BN206" i="2"/>
  <c r="BN205" i="2"/>
  <c r="BN210" i="2"/>
  <c r="Z205" i="2"/>
  <c r="Z208" i="2"/>
  <c r="Z206" i="2"/>
  <c r="Z207" i="2"/>
  <c r="Z209" i="2"/>
  <c r="Z210" i="2"/>
  <c r="BF206" i="2"/>
  <c r="BF208" i="2"/>
  <c r="BF205" i="2"/>
  <c r="BF207" i="2"/>
  <c r="BF209" i="2"/>
  <c r="BF210" i="2"/>
  <c r="AP209" i="2"/>
  <c r="AP208" i="2"/>
  <c r="AP207" i="2"/>
  <c r="AP206" i="2"/>
  <c r="AP210" i="2"/>
  <c r="AP205" i="2"/>
  <c r="AH206" i="2"/>
  <c r="AH207" i="2"/>
  <c r="AH210" i="2"/>
  <c r="AH208" i="2"/>
  <c r="AH209" i="2"/>
  <c r="AH205" i="2"/>
  <c r="J210" i="2"/>
  <c r="J207" i="2"/>
  <c r="J205" i="2"/>
  <c r="J208" i="2"/>
  <c r="J206" i="2"/>
  <c r="J209" i="2"/>
  <c r="B206" i="2"/>
  <c r="B209" i="2"/>
  <c r="B205" i="2"/>
  <c r="B207" i="2"/>
  <c r="B208" i="2"/>
  <c r="B210" i="2"/>
  <c r="R206" i="2"/>
  <c r="R209" i="2"/>
  <c r="R208" i="2"/>
  <c r="R210" i="2"/>
  <c r="R207" i="2"/>
  <c r="R205" i="2"/>
  <c r="AX211" i="2" l="1"/>
  <c r="BN211" i="2"/>
  <c r="J211" i="2"/>
  <c r="R211" i="2"/>
  <c r="AP211" i="2"/>
  <c r="B211" i="2"/>
  <c r="BF211" i="2"/>
  <c r="Z211" i="2"/>
  <c r="AH211" i="2"/>
</calcChain>
</file>

<file path=xl/sharedStrings.xml><?xml version="1.0" encoding="utf-8"?>
<sst xmlns="http://schemas.openxmlformats.org/spreadsheetml/2006/main" count="665" uniqueCount="152">
  <si>
    <t>Input</t>
  </si>
  <si>
    <t>composition</t>
  </si>
  <si>
    <t>g/100 g</t>
  </si>
  <si>
    <t>SiO2</t>
  </si>
  <si>
    <t>Summary input 1</t>
  </si>
  <si>
    <t>Summary input 2</t>
  </si>
  <si>
    <t>Al2O3</t>
  </si>
  <si>
    <t>g/100 binder</t>
  </si>
  <si>
    <t>g/100 g binder</t>
  </si>
  <si>
    <t>renormalised</t>
  </si>
  <si>
    <t>mol renormalised</t>
  </si>
  <si>
    <t>g renormed</t>
  </si>
  <si>
    <t>Fe2O3</t>
  </si>
  <si>
    <t>CaO</t>
  </si>
  <si>
    <t>MgO</t>
  </si>
  <si>
    <t>Al2O3 (corrected for hydrotalcite (M/A = 2)</t>
  </si>
  <si>
    <t>Na2O</t>
  </si>
  <si>
    <t>CaCO3</t>
  </si>
  <si>
    <t>K2O</t>
  </si>
  <si>
    <t>CaSO4</t>
  </si>
  <si>
    <t xml:space="preserve">CO2 </t>
  </si>
  <si>
    <t>H2O</t>
  </si>
  <si>
    <t>SO3</t>
  </si>
  <si>
    <t>Sulfur in slag neglected as present as S(-II)</t>
  </si>
  <si>
    <t>others</t>
  </si>
  <si>
    <t>ferrihydrite</t>
  </si>
  <si>
    <t>Sum</t>
  </si>
  <si>
    <t>hydrotalcite Mg4Al2O7(H2O)10</t>
  </si>
  <si>
    <t>degree of reaction</t>
  </si>
  <si>
    <t>brucite</t>
  </si>
  <si>
    <t>Duncan Herfort</t>
  </si>
  <si>
    <t>density (kg/m3)</t>
  </si>
  <si>
    <t>total</t>
  </si>
  <si>
    <t>Barbara Lothenbach</t>
  </si>
  <si>
    <t>w/c (&gt;0.5!!)</t>
  </si>
  <si>
    <t>cement</t>
  </si>
  <si>
    <t>OPC</t>
  </si>
  <si>
    <t>limestone</t>
  </si>
  <si>
    <t>silica fume</t>
  </si>
  <si>
    <t>slag</t>
  </si>
  <si>
    <t>output: hydrates</t>
  </si>
  <si>
    <t>C3A content</t>
  </si>
  <si>
    <t>g/100 g hydrated binder</t>
  </si>
  <si>
    <t>HC</t>
  </si>
  <si>
    <t>MC</t>
  </si>
  <si>
    <t>ETT</t>
  </si>
  <si>
    <t>MS</t>
  </si>
  <si>
    <t>HS</t>
  </si>
  <si>
    <t>HAFm</t>
  </si>
  <si>
    <t>C-A-S-H total</t>
  </si>
  <si>
    <t>C3A</t>
  </si>
  <si>
    <t>hydrotalcite</t>
  </si>
  <si>
    <t>Ca/Si</t>
  </si>
  <si>
    <t>Al/Si</t>
  </si>
  <si>
    <t>ca/Si</t>
  </si>
  <si>
    <t>Possible phase assemblage</t>
  </si>
  <si>
    <t>lower prefernce tha CASH</t>
  </si>
  <si>
    <t>lower prefernce</t>
  </si>
  <si>
    <t>"1"</t>
  </si>
  <si>
    <t>water</t>
  </si>
  <si>
    <t>"2"</t>
  </si>
  <si>
    <t>"3"</t>
  </si>
  <si>
    <t>"4"</t>
  </si>
  <si>
    <t>"5"</t>
  </si>
  <si>
    <t>"6"</t>
  </si>
  <si>
    <t>"7"</t>
  </si>
  <si>
    <t>"8"</t>
  </si>
  <si>
    <t>"9"</t>
  </si>
  <si>
    <t>"10"</t>
  </si>
  <si>
    <t>"11"</t>
  </si>
  <si>
    <t>"12"</t>
  </si>
  <si>
    <t>"13"</t>
  </si>
  <si>
    <t>"14"</t>
  </si>
  <si>
    <t>used weigth Relations</t>
  </si>
  <si>
    <t>portlandite</t>
  </si>
  <si>
    <t>C1.75SH4.4</t>
  </si>
  <si>
    <t>C1.75A0.05SH4.3</t>
  </si>
  <si>
    <t>C1.3A0.1SH3</t>
  </si>
  <si>
    <t>C0.67A0.05SH1.8</t>
  </si>
  <si>
    <t>C0.67SH1.8</t>
  </si>
  <si>
    <t>strätlingite</t>
  </si>
  <si>
    <t>Ca-stilbite</t>
  </si>
  <si>
    <t>AH3</t>
  </si>
  <si>
    <t>Hydrogarnet</t>
  </si>
  <si>
    <t>OH-AFm</t>
  </si>
  <si>
    <t>Hemicarbonate</t>
  </si>
  <si>
    <t>monocarbonate</t>
  </si>
  <si>
    <t>Hemisulphate</t>
  </si>
  <si>
    <t>monosulphate</t>
  </si>
  <si>
    <t>ettringite</t>
  </si>
  <si>
    <t>gypsum</t>
  </si>
  <si>
    <t>calcite</t>
  </si>
  <si>
    <t>c</t>
  </si>
  <si>
    <t>s</t>
  </si>
  <si>
    <t>a</t>
  </si>
  <si>
    <t>CC</t>
  </si>
  <si>
    <t>CS</t>
  </si>
  <si>
    <t>w</t>
  </si>
  <si>
    <t>Duncan</t>
  </si>
  <si>
    <t>C-S-H HCgel</t>
  </si>
  <si>
    <t>CSH 1.1</t>
  </si>
  <si>
    <t>C-S-H gel</t>
  </si>
  <si>
    <t>stratlingite</t>
  </si>
  <si>
    <t>Ca Stilbite</t>
  </si>
  <si>
    <t>gibbsite</t>
  </si>
  <si>
    <t>C3AH6</t>
  </si>
  <si>
    <t>hemicarb</t>
  </si>
  <si>
    <t>monocarb.</t>
  </si>
  <si>
    <t>monosulph.</t>
  </si>
  <si>
    <t>Sum (g)</t>
  </si>
  <si>
    <t>A (%)</t>
  </si>
  <si>
    <t>B (%)</t>
  </si>
  <si>
    <t>C (%)</t>
  </si>
  <si>
    <t>A treka.%</t>
  </si>
  <si>
    <t>C treka.%</t>
  </si>
  <si>
    <t>Al</t>
  </si>
  <si>
    <t>s gel</t>
  </si>
  <si>
    <t>Ca</t>
  </si>
  <si>
    <t>Na</t>
  </si>
  <si>
    <t>ch</t>
  </si>
  <si>
    <t>K</t>
  </si>
  <si>
    <t>Fe</t>
  </si>
  <si>
    <t>Mg</t>
  </si>
  <si>
    <t>Si</t>
  </si>
  <si>
    <t>c2as</t>
  </si>
  <si>
    <t>O</t>
  </si>
  <si>
    <t>c3a</t>
  </si>
  <si>
    <t>H</t>
  </si>
  <si>
    <t>S</t>
  </si>
  <si>
    <t>C</t>
  </si>
  <si>
    <t>c-s-h2</t>
  </si>
  <si>
    <t>C0.67SA0.05H</t>
  </si>
  <si>
    <t>Sr</t>
  </si>
  <si>
    <t>Li</t>
  </si>
  <si>
    <t>C1.3SA0.1H</t>
  </si>
  <si>
    <t>N</t>
  </si>
  <si>
    <t>CO2</t>
  </si>
  <si>
    <t>c-s-h1</t>
  </si>
  <si>
    <t>C1.75SA0.05H</t>
  </si>
  <si>
    <t>C1.75SH</t>
  </si>
  <si>
    <t>c-s-h1.3</t>
  </si>
  <si>
    <t>C0.67SH</t>
  </si>
  <si>
    <t>MS0.5</t>
  </si>
  <si>
    <t>Ett</t>
  </si>
  <si>
    <t>Thaumasite</t>
  </si>
  <si>
    <t>fly ash</t>
  </si>
  <si>
    <t>2016 ©</t>
  </si>
  <si>
    <t>(CaSiO3·CaCO3·CaSO4·15H2O</t>
  </si>
  <si>
    <t>thaumasite</t>
  </si>
  <si>
    <t>CSCcCs</t>
  </si>
  <si>
    <t>MgSO4</t>
  </si>
  <si>
    <t>HG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</si>
</sst>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2" x14ac:knownFonts="1">
    <font>
      <sz val="10"/>
      <color theme="1"/>
      <name val="Segoe UI"/>
      <family val="2"/>
    </font>
    <font>
      <b/>
      <sz val="10"/>
      <color theme="1"/>
      <name val="Segoe UI"/>
      <family val="2"/>
    </font>
    <font>
      <sz val="10"/>
      <name val="Arial"/>
      <family val="2"/>
    </font>
    <font>
      <b/>
      <sz val="12"/>
      <color theme="1"/>
      <name val="Segoe UI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color indexed="22"/>
      <name val="Arial"/>
      <family val="2"/>
    </font>
    <font>
      <i/>
      <sz val="10"/>
      <color theme="1"/>
      <name val="Segoe UI"/>
      <family val="2"/>
    </font>
    <font>
      <sz val="10"/>
      <name val="Segoe UI"/>
      <family val="2"/>
    </font>
    <font>
      <i/>
      <sz val="10"/>
      <color theme="0" tint="-0.249977111117893"/>
      <name val="Arial"/>
      <family val="2"/>
    </font>
    <font>
      <b/>
      <i/>
      <sz val="10"/>
      <name val="Arial"/>
      <family val="2"/>
    </font>
    <font>
      <b/>
      <sz val="10"/>
      <color indexed="1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2" fillId="0" borderId="0"/>
  </cellStyleXfs>
  <cellXfs count="196">
    <xf numFmtId="0" fontId="0" fillId="0" borderId="0" xfId="0"/>
    <xf numFmtId="0" fontId="2" fillId="0" borderId="0" xfId="2" applyProtection="1"/>
    <xf numFmtId="0" fontId="3" fillId="0" borderId="1" xfId="2" applyFont="1" applyBorder="1" applyAlignment="1" applyProtection="1">
      <alignment horizontal="center" vertical="top"/>
    </xf>
    <xf numFmtId="49" fontId="4" fillId="0" borderId="2" xfId="2" applyNumberFormat="1" applyFont="1" applyBorder="1" applyAlignment="1" applyProtection="1">
      <alignment horizontal="center"/>
    </xf>
    <xf numFmtId="49" fontId="4" fillId="0" borderId="3" xfId="2" applyNumberFormat="1" applyFont="1" applyBorder="1" applyAlignment="1" applyProtection="1">
      <alignment horizontal="center"/>
    </xf>
    <xf numFmtId="164" fontId="2" fillId="0" borderId="4" xfId="2" applyNumberFormat="1" applyBorder="1" applyProtection="1"/>
    <xf numFmtId="0" fontId="2" fillId="0" borderId="0" xfId="2" applyFill="1" applyBorder="1" applyAlignment="1" applyProtection="1">
      <alignment horizontal="center"/>
    </xf>
    <xf numFmtId="0" fontId="2" fillId="0" borderId="5" xfId="2" applyFill="1" applyBorder="1" applyAlignment="1" applyProtection="1">
      <alignment horizontal="center"/>
    </xf>
    <xf numFmtId="0" fontId="2" fillId="2" borderId="4" xfId="2" applyFill="1" applyBorder="1" applyProtection="1"/>
    <xf numFmtId="164" fontId="2" fillId="3" borderId="0" xfId="2" applyNumberFormat="1" applyFill="1" applyBorder="1" applyAlignment="1" applyProtection="1">
      <alignment horizontal="center"/>
      <protection locked="0"/>
    </xf>
    <xf numFmtId="164" fontId="2" fillId="3" borderId="5" xfId="2" applyNumberFormat="1" applyFill="1" applyBorder="1" applyAlignment="1" applyProtection="1">
      <alignment horizontal="center"/>
      <protection locked="0"/>
    </xf>
    <xf numFmtId="0" fontId="1" fillId="2" borderId="1" xfId="2" applyFont="1" applyFill="1" applyBorder="1" applyAlignment="1" applyProtection="1">
      <alignment horizontal="left"/>
    </xf>
    <xf numFmtId="0" fontId="2" fillId="2" borderId="2" xfId="2" applyFill="1" applyBorder="1" applyProtection="1"/>
    <xf numFmtId="0" fontId="4" fillId="2" borderId="2" xfId="2" applyFont="1" applyFill="1" applyBorder="1" applyProtection="1"/>
    <xf numFmtId="0" fontId="2" fillId="2" borderId="3" xfId="2" applyFill="1" applyBorder="1" applyProtection="1"/>
    <xf numFmtId="2" fontId="2" fillId="3" borderId="0" xfId="2" applyNumberFormat="1" applyFill="1" applyBorder="1" applyAlignment="1" applyProtection="1">
      <alignment horizontal="center"/>
      <protection locked="0"/>
    </xf>
    <xf numFmtId="0" fontId="2" fillId="2" borderId="0" xfId="2" applyFill="1" applyBorder="1" applyProtection="1"/>
    <xf numFmtId="0" fontId="2" fillId="2" borderId="5" xfId="2" applyFill="1" applyBorder="1" applyProtection="1"/>
    <xf numFmtId="0" fontId="2" fillId="4" borderId="4" xfId="2" applyFont="1" applyFill="1" applyBorder="1" applyProtection="1"/>
    <xf numFmtId="164" fontId="2" fillId="3" borderId="0" xfId="2" applyNumberFormat="1" applyFont="1" applyFill="1" applyBorder="1" applyAlignment="1" applyProtection="1">
      <alignment horizontal="center"/>
      <protection locked="0"/>
    </xf>
    <xf numFmtId="2" fontId="5" fillId="3" borderId="0" xfId="2" applyNumberFormat="1" applyFont="1" applyFill="1" applyBorder="1" applyAlignment="1" applyProtection="1">
      <alignment horizontal="center"/>
      <protection locked="0"/>
    </xf>
    <xf numFmtId="2" fontId="2" fillId="3" borderId="0" xfId="2" applyNumberFormat="1" applyFont="1" applyFill="1" applyBorder="1" applyAlignment="1" applyProtection="1">
      <alignment horizontal="center"/>
      <protection locked="0"/>
    </xf>
    <xf numFmtId="164" fontId="2" fillId="3" borderId="5" xfId="2" applyNumberFormat="1" applyFont="1" applyFill="1" applyBorder="1" applyAlignment="1" applyProtection="1">
      <alignment horizontal="center"/>
      <protection locked="0"/>
    </xf>
    <xf numFmtId="0" fontId="2" fillId="2" borderId="4" xfId="2" applyFont="1" applyFill="1" applyBorder="1" applyAlignment="1" applyProtection="1">
      <alignment horizontal="center"/>
    </xf>
    <xf numFmtId="164" fontId="2" fillId="2" borderId="0" xfId="2" applyNumberFormat="1" applyFont="1" applyFill="1" applyBorder="1" applyAlignment="1" applyProtection="1">
      <alignment horizontal="center"/>
    </xf>
    <xf numFmtId="2" fontId="2" fillId="2" borderId="0" xfId="2" applyNumberFormat="1" applyFill="1" applyBorder="1" applyProtection="1"/>
    <xf numFmtId="2" fontId="2" fillId="3" borderId="5" xfId="2" applyNumberFormat="1" applyFont="1" applyFill="1" applyBorder="1" applyAlignment="1" applyProtection="1">
      <alignment horizontal="center"/>
      <protection locked="0"/>
    </xf>
    <xf numFmtId="2" fontId="2" fillId="4" borderId="0" xfId="2" applyNumberFormat="1" applyFill="1" applyProtection="1"/>
    <xf numFmtId="0" fontId="2" fillId="4" borderId="0" xfId="2" applyFill="1" applyProtection="1"/>
    <xf numFmtId="0" fontId="5" fillId="2" borderId="4" xfId="2" applyFont="1" applyFill="1" applyBorder="1" applyProtection="1"/>
    <xf numFmtId="2" fontId="5" fillId="3" borderId="5" xfId="2" applyNumberFormat="1" applyFont="1" applyFill="1" applyBorder="1" applyAlignment="1" applyProtection="1">
      <alignment horizontal="center"/>
      <protection locked="0"/>
    </xf>
    <xf numFmtId="164" fontId="6" fillId="0" borderId="0" xfId="2" applyNumberFormat="1" applyFont="1" applyProtection="1"/>
    <xf numFmtId="2" fontId="2" fillId="3" borderId="5" xfId="2" applyNumberFormat="1" applyFill="1" applyBorder="1" applyAlignment="1" applyProtection="1">
      <alignment horizontal="center"/>
      <protection locked="0"/>
    </xf>
    <xf numFmtId="0" fontId="5" fillId="0" borderId="0" xfId="2" applyFont="1" applyProtection="1"/>
    <xf numFmtId="164" fontId="7" fillId="0" borderId="0" xfId="2" applyNumberFormat="1" applyFont="1" applyBorder="1" applyAlignment="1" applyProtection="1">
      <alignment horizontal="center"/>
    </xf>
    <xf numFmtId="164" fontId="7" fillId="0" borderId="5" xfId="2" applyNumberFormat="1" applyFont="1" applyBorder="1" applyAlignment="1" applyProtection="1">
      <alignment horizontal="center"/>
    </xf>
    <xf numFmtId="0" fontId="2" fillId="0" borderId="0" xfId="2" applyFont="1" applyProtection="1"/>
    <xf numFmtId="0" fontId="2" fillId="2" borderId="0" xfId="2" applyFont="1" applyFill="1" applyBorder="1" applyProtection="1"/>
    <xf numFmtId="164" fontId="2" fillId="2" borderId="0" xfId="2" applyNumberFormat="1" applyFill="1" applyBorder="1" applyProtection="1"/>
    <xf numFmtId="164" fontId="1" fillId="2" borderId="0" xfId="2" applyNumberFormat="1" applyFont="1" applyFill="1" applyBorder="1" applyAlignment="1" applyProtection="1">
      <alignment horizontal="center"/>
    </xf>
    <xf numFmtId="164" fontId="1" fillId="2" borderId="5" xfId="2" applyNumberFormat="1" applyFont="1" applyFill="1" applyBorder="1" applyAlignment="1" applyProtection="1">
      <alignment horizontal="center"/>
    </xf>
    <xf numFmtId="0" fontId="8" fillId="2" borderId="6" xfId="2" applyFont="1" applyFill="1" applyBorder="1" applyProtection="1"/>
    <xf numFmtId="0" fontId="2" fillId="2" borderId="7" xfId="2" applyFill="1" applyBorder="1" applyProtection="1"/>
    <xf numFmtId="0" fontId="2" fillId="0" borderId="4" xfId="2" applyBorder="1" applyProtection="1"/>
    <xf numFmtId="9" fontId="1" fillId="3" borderId="0" xfId="1" applyFont="1" applyFill="1" applyBorder="1" applyAlignment="1" applyProtection="1">
      <alignment horizontal="center"/>
      <protection locked="0"/>
    </xf>
    <xf numFmtId="9" fontId="1" fillId="3" borderId="5" xfId="1" applyFont="1" applyFill="1" applyBorder="1" applyAlignment="1" applyProtection="1">
      <alignment horizontal="center"/>
      <protection locked="0"/>
    </xf>
    <xf numFmtId="165" fontId="2" fillId="4" borderId="0" xfId="2" applyNumberFormat="1" applyFill="1" applyProtection="1"/>
    <xf numFmtId="0" fontId="2" fillId="2" borderId="8" xfId="2" applyFill="1" applyBorder="1" applyProtection="1"/>
    <xf numFmtId="0" fontId="2" fillId="2" borderId="9" xfId="2" applyFill="1" applyBorder="1" applyProtection="1"/>
    <xf numFmtId="1" fontId="2" fillId="3" borderId="0" xfId="2" applyNumberFormat="1" applyFill="1" applyBorder="1" applyAlignment="1" applyProtection="1">
      <alignment horizontal="center"/>
      <protection locked="0"/>
    </xf>
    <xf numFmtId="165" fontId="9" fillId="0" borderId="0" xfId="2" applyNumberFormat="1" applyFont="1" applyProtection="1"/>
    <xf numFmtId="0" fontId="2" fillId="2" borderId="10" xfId="2" applyFill="1" applyBorder="1" applyProtection="1"/>
    <xf numFmtId="0" fontId="2" fillId="2" borderId="11" xfId="2" applyFill="1" applyBorder="1" applyProtection="1"/>
    <xf numFmtId="0" fontId="2" fillId="0" borderId="0" xfId="2" applyBorder="1" applyProtection="1"/>
    <xf numFmtId="0" fontId="3" fillId="0" borderId="0" xfId="2" applyFont="1" applyBorder="1" applyAlignment="1" applyProtection="1">
      <alignment horizontal="center" vertical="top"/>
    </xf>
    <xf numFmtId="0" fontId="2" fillId="0" borderId="0" xfId="2" applyFont="1" applyFill="1" applyBorder="1" applyAlignment="1" applyProtection="1">
      <alignment horizontal="right"/>
    </xf>
    <xf numFmtId="2" fontId="1" fillId="5" borderId="5" xfId="2" applyNumberFormat="1" applyFont="1" applyFill="1" applyBorder="1" applyAlignment="1" applyProtection="1">
      <alignment horizontal="center"/>
      <protection locked="0"/>
    </xf>
    <xf numFmtId="0" fontId="2" fillId="2" borderId="12" xfId="2" applyFill="1" applyBorder="1" applyProtection="1"/>
    <xf numFmtId="0" fontId="2" fillId="2" borderId="13" xfId="2" applyFill="1" applyBorder="1" applyProtection="1"/>
    <xf numFmtId="2" fontId="2" fillId="2" borderId="13" xfId="2" applyNumberFormat="1" applyFill="1" applyBorder="1" applyProtection="1"/>
    <xf numFmtId="2" fontId="2" fillId="2" borderId="14" xfId="2" applyNumberFormat="1" applyFill="1" applyBorder="1" applyProtection="1"/>
    <xf numFmtId="0" fontId="1" fillId="0" borderId="4" xfId="2" applyFont="1" applyBorder="1" applyProtection="1"/>
    <xf numFmtId="49" fontId="4" fillId="5" borderId="0" xfId="2" applyNumberFormat="1" applyFont="1" applyFill="1" applyBorder="1" applyAlignment="1" applyProtection="1">
      <alignment horizontal="center"/>
      <protection locked="0"/>
    </xf>
    <xf numFmtId="0" fontId="2" fillId="0" borderId="12" xfId="2" applyBorder="1" applyProtection="1"/>
    <xf numFmtId="0" fontId="4" fillId="5" borderId="13" xfId="2" applyFont="1" applyFill="1" applyBorder="1" applyAlignment="1" applyProtection="1">
      <alignment horizontal="center"/>
      <protection locked="0"/>
    </xf>
    <xf numFmtId="0" fontId="4" fillId="5" borderId="14" xfId="2" applyFont="1" applyFill="1" applyBorder="1" applyAlignment="1" applyProtection="1">
      <alignment horizontal="center"/>
      <protection locked="0"/>
    </xf>
    <xf numFmtId="0" fontId="2" fillId="2" borderId="6" xfId="2" applyFill="1" applyBorder="1" applyProtection="1"/>
    <xf numFmtId="164" fontId="4" fillId="2" borderId="15" xfId="2" applyNumberFormat="1" applyFont="1" applyFill="1" applyBorder="1" applyAlignment="1" applyProtection="1">
      <alignment horizontal="right"/>
    </xf>
    <xf numFmtId="0" fontId="2" fillId="2" borderId="16" xfId="2" applyFill="1" applyBorder="1" applyProtection="1"/>
    <xf numFmtId="2" fontId="2" fillId="2" borderId="16" xfId="2" applyNumberFormat="1" applyFill="1" applyBorder="1" applyProtection="1"/>
    <xf numFmtId="0" fontId="5" fillId="0" borderId="0" xfId="2" applyFont="1" applyAlignment="1" applyProtection="1">
      <alignment horizontal="center"/>
    </xf>
    <xf numFmtId="0" fontId="5" fillId="6" borderId="0" xfId="2" applyFont="1" applyFill="1" applyProtection="1"/>
    <xf numFmtId="2" fontId="5" fillId="6" borderId="0" xfId="2" applyNumberFormat="1" applyFont="1" applyFill="1" applyProtection="1"/>
    <xf numFmtId="0" fontId="2" fillId="7" borderId="6" xfId="2" applyFill="1" applyBorder="1" applyProtection="1">
      <protection locked="0"/>
    </xf>
    <xf numFmtId="164" fontId="4" fillId="7" borderId="15" xfId="2" applyNumberFormat="1" applyFont="1" applyFill="1" applyBorder="1" applyAlignment="1" applyProtection="1">
      <alignment horizontal="right"/>
      <protection locked="0"/>
    </xf>
    <xf numFmtId="0" fontId="2" fillId="7" borderId="15" xfId="2" applyFill="1" applyBorder="1" applyProtection="1">
      <protection locked="0"/>
    </xf>
    <xf numFmtId="0" fontId="2" fillId="7" borderId="7" xfId="2" applyFill="1" applyBorder="1" applyProtection="1">
      <protection locked="0"/>
    </xf>
    <xf numFmtId="0" fontId="2" fillId="2" borderId="0" xfId="2" applyFill="1" applyBorder="1" applyAlignment="1" applyProtection="1">
      <alignment horizontal="right"/>
    </xf>
    <xf numFmtId="0" fontId="2" fillId="2" borderId="9" xfId="2" applyFont="1" applyFill="1" applyBorder="1" applyAlignment="1" applyProtection="1">
      <alignment horizontal="right"/>
    </xf>
    <xf numFmtId="0" fontId="2" fillId="7" borderId="8" xfId="2" applyFill="1" applyBorder="1" applyProtection="1">
      <protection locked="0"/>
    </xf>
    <xf numFmtId="0" fontId="2" fillId="7" borderId="0" xfId="2" applyFill="1" applyBorder="1" applyAlignment="1" applyProtection="1">
      <alignment horizontal="right"/>
      <protection locked="0"/>
    </xf>
    <xf numFmtId="0" fontId="2" fillId="7" borderId="0" xfId="2" applyFill="1" applyBorder="1" applyProtection="1">
      <protection locked="0"/>
    </xf>
    <xf numFmtId="0" fontId="2" fillId="7" borderId="9" xfId="2" applyFill="1" applyBorder="1" applyProtection="1">
      <protection locked="0"/>
    </xf>
    <xf numFmtId="0" fontId="4" fillId="2" borderId="0" xfId="2" applyFont="1" applyFill="1" applyBorder="1" applyAlignment="1" applyProtection="1">
      <alignment horizontal="right"/>
    </xf>
    <xf numFmtId="164" fontId="2" fillId="2" borderId="9" xfId="2" applyNumberFormat="1" applyFill="1" applyBorder="1" applyAlignment="1" applyProtection="1">
      <alignment horizontal="center"/>
    </xf>
    <xf numFmtId="0" fontId="4" fillId="7" borderId="0" xfId="2" applyFont="1" applyFill="1" applyBorder="1" applyAlignment="1" applyProtection="1">
      <alignment horizontal="right"/>
      <protection locked="0"/>
    </xf>
    <xf numFmtId="2" fontId="2" fillId="7" borderId="0" xfId="2" applyNumberFormat="1" applyFill="1" applyBorder="1" applyProtection="1">
      <protection locked="0"/>
    </xf>
    <xf numFmtId="165" fontId="2" fillId="7" borderId="9" xfId="2" applyNumberFormat="1" applyFill="1" applyBorder="1" applyProtection="1">
      <protection locked="0"/>
    </xf>
    <xf numFmtId="0" fontId="2" fillId="4" borderId="16" xfId="2" applyFill="1" applyBorder="1" applyProtection="1"/>
    <xf numFmtId="2" fontId="2" fillId="4" borderId="16" xfId="2" applyNumberFormat="1" applyFill="1" applyBorder="1" applyProtection="1"/>
    <xf numFmtId="164" fontId="5" fillId="2" borderId="9" xfId="2" applyNumberFormat="1" applyFont="1" applyFill="1" applyBorder="1" applyAlignment="1" applyProtection="1">
      <alignment horizontal="center"/>
    </xf>
    <xf numFmtId="0" fontId="5" fillId="2" borderId="0" xfId="2" applyFont="1" applyFill="1" applyBorder="1" applyAlignment="1" applyProtection="1">
      <alignment horizontal="right"/>
    </xf>
    <xf numFmtId="2" fontId="2" fillId="6" borderId="16" xfId="2" applyNumberFormat="1" applyFill="1" applyBorder="1" applyProtection="1"/>
    <xf numFmtId="0" fontId="2" fillId="2" borderId="0" xfId="2" applyFont="1" applyFill="1" applyBorder="1" applyAlignment="1" applyProtection="1">
      <alignment horizontal="right"/>
    </xf>
    <xf numFmtId="2" fontId="2" fillId="2" borderId="9" xfId="2" applyNumberFormat="1" applyFill="1" applyBorder="1" applyAlignment="1" applyProtection="1">
      <alignment horizontal="center"/>
    </xf>
    <xf numFmtId="2" fontId="2" fillId="0" borderId="0" xfId="2" applyNumberFormat="1" applyProtection="1"/>
    <xf numFmtId="0" fontId="2" fillId="2" borderId="17" xfId="2" applyFont="1" applyFill="1" applyBorder="1" applyAlignment="1" applyProtection="1">
      <alignment horizontal="right"/>
    </xf>
    <xf numFmtId="2" fontId="2" fillId="2" borderId="11" xfId="2" applyNumberFormat="1" applyFill="1" applyBorder="1" applyAlignment="1" applyProtection="1">
      <alignment horizontal="center"/>
    </xf>
    <xf numFmtId="0" fontId="5" fillId="7" borderId="0" xfId="2" applyFont="1" applyFill="1" applyBorder="1" applyAlignment="1" applyProtection="1">
      <alignment horizontal="right"/>
      <protection locked="0"/>
    </xf>
    <xf numFmtId="164" fontId="5" fillId="7" borderId="0" xfId="2" applyNumberFormat="1" applyFont="1" applyFill="1" applyBorder="1" applyProtection="1">
      <protection locked="0"/>
    </xf>
    <xf numFmtId="164" fontId="2" fillId="2" borderId="0" xfId="2" applyNumberFormat="1" applyFill="1" applyBorder="1" applyAlignment="1" applyProtection="1">
      <alignment horizontal="center"/>
    </xf>
    <xf numFmtId="2" fontId="2" fillId="0" borderId="0" xfId="2" applyNumberFormat="1" applyAlignment="1" applyProtection="1">
      <alignment horizontal="center"/>
    </xf>
    <xf numFmtId="0" fontId="2" fillId="7" borderId="10" xfId="2" applyFill="1" applyBorder="1" applyProtection="1">
      <protection locked="0"/>
    </xf>
    <xf numFmtId="0" fontId="5" fillId="7" borderId="17" xfId="2" applyFont="1" applyFill="1" applyBorder="1" applyAlignment="1" applyProtection="1">
      <alignment horizontal="right"/>
      <protection locked="0"/>
    </xf>
    <xf numFmtId="2" fontId="2" fillId="7" borderId="17" xfId="2" applyNumberFormat="1" applyFill="1" applyBorder="1" applyProtection="1">
      <protection locked="0"/>
    </xf>
    <xf numFmtId="0" fontId="2" fillId="7" borderId="11" xfId="2" applyFill="1" applyBorder="1" applyProtection="1">
      <protection locked="0"/>
    </xf>
    <xf numFmtId="0" fontId="4" fillId="7" borderId="6" xfId="2" applyFont="1" applyFill="1" applyBorder="1" applyProtection="1"/>
    <xf numFmtId="0" fontId="5" fillId="0" borderId="6" xfId="2" applyFont="1" applyBorder="1" applyProtection="1"/>
    <xf numFmtId="0" fontId="5" fillId="0" borderId="15" xfId="2" applyFont="1" applyBorder="1" applyProtection="1"/>
    <xf numFmtId="0" fontId="2" fillId="0" borderId="15" xfId="2" applyBorder="1" applyProtection="1"/>
    <xf numFmtId="0" fontId="5" fillId="0" borderId="7" xfId="2" applyFont="1" applyBorder="1" applyProtection="1"/>
    <xf numFmtId="0" fontId="5" fillId="0" borderId="8" xfId="2" applyFont="1" applyBorder="1" applyProtection="1"/>
    <xf numFmtId="0" fontId="5" fillId="0" borderId="0" xfId="2" applyFont="1" applyBorder="1" applyProtection="1"/>
    <xf numFmtId="0" fontId="5" fillId="0" borderId="9" xfId="2" applyFont="1" applyBorder="1" applyProtection="1"/>
    <xf numFmtId="2" fontId="2" fillId="0" borderId="8" xfId="2" applyNumberFormat="1" applyFill="1" applyBorder="1" applyProtection="1"/>
    <xf numFmtId="2" fontId="2" fillId="0" borderId="0" xfId="2" applyNumberFormat="1" applyFill="1" applyBorder="1" applyProtection="1"/>
    <xf numFmtId="2" fontId="2" fillId="0" borderId="9" xfId="2" applyNumberFormat="1" applyFill="1" applyBorder="1" applyProtection="1"/>
    <xf numFmtId="2" fontId="2" fillId="8" borderId="8" xfId="2" applyNumberFormat="1" applyFill="1" applyBorder="1" applyProtection="1"/>
    <xf numFmtId="2" fontId="2" fillId="8" borderId="0" xfId="2" applyNumberFormat="1" applyFill="1" applyBorder="1" applyProtection="1"/>
    <xf numFmtId="2" fontId="2" fillId="0" borderId="8" xfId="2" applyNumberFormat="1" applyBorder="1" applyProtection="1"/>
    <xf numFmtId="2" fontId="2" fillId="0" borderId="0" xfId="2" applyNumberFormat="1" applyBorder="1" applyProtection="1"/>
    <xf numFmtId="1" fontId="5" fillId="0" borderId="8" xfId="2" applyNumberFormat="1" applyFont="1" applyFill="1" applyBorder="1" applyProtection="1"/>
    <xf numFmtId="1" fontId="5" fillId="0" borderId="0" xfId="2" applyNumberFormat="1" applyFont="1" applyFill="1" applyBorder="1" applyProtection="1"/>
    <xf numFmtId="1" fontId="5" fillId="0" borderId="9" xfId="2" applyNumberFormat="1" applyFont="1" applyFill="1" applyBorder="1" applyProtection="1"/>
    <xf numFmtId="2" fontId="2" fillId="0" borderId="10" xfId="2" applyNumberFormat="1" applyFill="1" applyBorder="1" applyProtection="1"/>
    <xf numFmtId="2" fontId="2" fillId="0" borderId="17" xfId="2" applyNumberFormat="1" applyFill="1" applyBorder="1" applyProtection="1"/>
    <xf numFmtId="2" fontId="2" fillId="0" borderId="11" xfId="2" applyNumberFormat="1" applyFill="1" applyBorder="1" applyProtection="1"/>
    <xf numFmtId="0" fontId="2" fillId="8" borderId="0" xfId="2" applyFont="1" applyFill="1" applyProtection="1"/>
    <xf numFmtId="1" fontId="2" fillId="0" borderId="0" xfId="2" applyNumberFormat="1" applyFill="1" applyBorder="1" applyProtection="1"/>
    <xf numFmtId="1" fontId="2" fillId="7" borderId="15" xfId="2" applyNumberFormat="1" applyFill="1" applyBorder="1" applyProtection="1"/>
    <xf numFmtId="0" fontId="2" fillId="7" borderId="15" xfId="2" applyFill="1" applyBorder="1" applyProtection="1"/>
    <xf numFmtId="0" fontId="2" fillId="7" borderId="7" xfId="2" applyFill="1" applyBorder="1" applyProtection="1"/>
    <xf numFmtId="0" fontId="2" fillId="7" borderId="8" xfId="2" applyFill="1" applyBorder="1" applyProtection="1"/>
    <xf numFmtId="0" fontId="2" fillId="7" borderId="0" xfId="2" applyFill="1" applyBorder="1" applyProtection="1"/>
    <xf numFmtId="0" fontId="2" fillId="7" borderId="9" xfId="2" applyFill="1" applyBorder="1" applyProtection="1"/>
    <xf numFmtId="0" fontId="4" fillId="7" borderId="8" xfId="2" applyFont="1" applyFill="1" applyBorder="1" applyProtection="1"/>
    <xf numFmtId="0" fontId="4" fillId="7" borderId="0" xfId="2" applyFont="1" applyFill="1" applyBorder="1" applyProtection="1"/>
    <xf numFmtId="0" fontId="4" fillId="7" borderId="9" xfId="2" applyFont="1" applyFill="1" applyBorder="1" applyProtection="1"/>
    <xf numFmtId="0" fontId="2" fillId="7" borderId="0" xfId="2" applyFont="1" applyFill="1" applyBorder="1" applyProtection="1"/>
    <xf numFmtId="0" fontId="2" fillId="7" borderId="9" xfId="2" applyFont="1" applyFill="1" applyBorder="1" applyProtection="1"/>
    <xf numFmtId="0" fontId="10" fillId="7" borderId="0" xfId="2" applyFont="1" applyFill="1" applyBorder="1" applyProtection="1"/>
    <xf numFmtId="0" fontId="10" fillId="7" borderId="9" xfId="2" applyFont="1" applyFill="1" applyBorder="1" applyProtection="1"/>
    <xf numFmtId="164" fontId="4" fillId="7" borderId="0" xfId="2" applyNumberFormat="1" applyFont="1" applyFill="1" applyBorder="1" applyProtection="1"/>
    <xf numFmtId="164" fontId="10" fillId="7" borderId="0" xfId="2" applyNumberFormat="1" applyFont="1" applyFill="1" applyBorder="1" applyProtection="1"/>
    <xf numFmtId="0" fontId="2" fillId="7" borderId="10" xfId="2" applyFill="1" applyBorder="1" applyProtection="1"/>
    <xf numFmtId="164" fontId="10" fillId="7" borderId="17" xfId="2" applyNumberFormat="1" applyFont="1" applyFill="1" applyBorder="1" applyProtection="1"/>
    <xf numFmtId="0" fontId="2" fillId="7" borderId="17" xfId="2" applyFill="1" applyBorder="1" applyProtection="1"/>
    <xf numFmtId="0" fontId="2" fillId="7" borderId="11" xfId="2" applyFill="1" applyBorder="1" applyProtection="1"/>
    <xf numFmtId="0" fontId="2" fillId="7" borderId="1" xfId="2" applyFont="1" applyFill="1" applyBorder="1" applyProtection="1"/>
    <xf numFmtId="0" fontId="2" fillId="7" borderId="2" xfId="2" applyFill="1" applyBorder="1" applyProtection="1"/>
    <xf numFmtId="0" fontId="4" fillId="7" borderId="2" xfId="2" applyFont="1" applyFill="1" applyBorder="1" applyProtection="1"/>
    <xf numFmtId="0" fontId="4" fillId="7" borderId="3" xfId="2" applyFont="1" applyFill="1" applyBorder="1" applyProtection="1"/>
    <xf numFmtId="0" fontId="2" fillId="7" borderId="4" xfId="2" applyFill="1" applyBorder="1" applyProtection="1"/>
    <xf numFmtId="164" fontId="2" fillId="7" borderId="0" xfId="2" applyNumberFormat="1" applyFill="1" applyBorder="1" applyProtection="1"/>
    <xf numFmtId="0" fontId="2" fillId="7" borderId="5" xfId="2" applyFill="1" applyBorder="1" applyProtection="1"/>
    <xf numFmtId="0" fontId="4" fillId="2" borderId="0" xfId="2" applyFont="1" applyFill="1" applyBorder="1" applyProtection="1"/>
    <xf numFmtId="0" fontId="4" fillId="2" borderId="5" xfId="2" applyFont="1" applyFill="1" applyBorder="1" applyProtection="1"/>
    <xf numFmtId="0" fontId="2" fillId="2" borderId="4" xfId="2" applyFont="1" applyFill="1" applyBorder="1" applyProtection="1"/>
    <xf numFmtId="0" fontId="5" fillId="2" borderId="0" xfId="2" applyFont="1" applyFill="1" applyBorder="1" applyProtection="1"/>
    <xf numFmtId="0" fontId="5" fillId="2" borderId="5" xfId="2" applyFont="1" applyFill="1" applyBorder="1" applyProtection="1"/>
    <xf numFmtId="0" fontId="2" fillId="2" borderId="0" xfId="2" applyNumberFormat="1" applyFill="1" applyBorder="1" applyProtection="1"/>
    <xf numFmtId="0" fontId="2" fillId="2" borderId="5" xfId="2" applyNumberFormat="1" applyFill="1" applyBorder="1" applyProtection="1"/>
    <xf numFmtId="0" fontId="2" fillId="0" borderId="0" xfId="2"/>
    <xf numFmtId="165" fontId="2" fillId="2" borderId="0" xfId="2" applyNumberFormat="1" applyFill="1" applyBorder="1" applyProtection="1"/>
    <xf numFmtId="165" fontId="2" fillId="2" borderId="5" xfId="2" applyNumberFormat="1" applyFill="1" applyBorder="1" applyProtection="1"/>
    <xf numFmtId="0" fontId="2" fillId="2" borderId="14" xfId="2" applyFill="1" applyBorder="1" applyProtection="1"/>
    <xf numFmtId="0" fontId="11" fillId="0" borderId="0" xfId="2" applyFont="1" applyProtection="1"/>
    <xf numFmtId="0" fontId="5" fillId="9" borderId="0" xfId="2" applyFont="1" applyFill="1" applyAlignment="1" applyProtection="1">
      <alignment horizontal="center"/>
      <protection hidden="1"/>
    </xf>
    <xf numFmtId="0" fontId="5" fillId="4" borderId="0" xfId="2" applyFont="1" applyFill="1" applyProtection="1"/>
    <xf numFmtId="2" fontId="5" fillId="4" borderId="0" xfId="2" applyNumberFormat="1" applyFont="1" applyFill="1" applyAlignment="1" applyProtection="1">
      <alignment horizontal="left"/>
    </xf>
    <xf numFmtId="0" fontId="4" fillId="0" borderId="0" xfId="2" applyFont="1" applyProtection="1"/>
    <xf numFmtId="0" fontId="5" fillId="0" borderId="0" xfId="2" applyFont="1" applyProtection="1">
      <protection hidden="1"/>
    </xf>
    <xf numFmtId="0" fontId="10" fillId="0" borderId="0" xfId="2" applyFont="1" applyProtection="1"/>
    <xf numFmtId="2" fontId="2" fillId="4" borderId="0" xfId="2" applyNumberFormat="1" applyFill="1" applyAlignment="1" applyProtection="1">
      <alignment horizontal="left"/>
    </xf>
    <xf numFmtId="0" fontId="2" fillId="10" borderId="0" xfId="2" applyFill="1" applyProtection="1"/>
    <xf numFmtId="0" fontId="4" fillId="2" borderId="0" xfId="2" applyFont="1" applyFill="1" applyProtection="1"/>
    <xf numFmtId="1" fontId="2" fillId="4" borderId="0" xfId="2" applyNumberFormat="1" applyFill="1" applyAlignment="1" applyProtection="1">
      <alignment horizontal="center"/>
    </xf>
    <xf numFmtId="2" fontId="4" fillId="5" borderId="0" xfId="2" applyNumberFormat="1" applyFont="1" applyFill="1" applyProtection="1"/>
    <xf numFmtId="0" fontId="11" fillId="5" borderId="0" xfId="2" applyFont="1" applyFill="1" applyProtection="1"/>
    <xf numFmtId="0" fontId="5" fillId="5" borderId="0" xfId="2" applyFont="1" applyFill="1" applyProtection="1">
      <protection hidden="1"/>
    </xf>
    <xf numFmtId="0" fontId="5" fillId="9" borderId="0" xfId="2" applyFont="1" applyFill="1" applyAlignment="1" applyProtection="1">
      <alignment horizontal="center"/>
    </xf>
    <xf numFmtId="2" fontId="11" fillId="5" borderId="0" xfId="2" applyNumberFormat="1" applyFont="1" applyFill="1" applyProtection="1"/>
    <xf numFmtId="2" fontId="2" fillId="5" borderId="0" xfId="2" applyNumberFormat="1" applyFill="1" applyProtection="1"/>
    <xf numFmtId="164" fontId="11" fillId="5" borderId="0" xfId="2" applyNumberFormat="1" applyFont="1" applyFill="1" applyProtection="1"/>
    <xf numFmtId="0" fontId="5" fillId="5" borderId="0" xfId="2" applyFont="1" applyFill="1" applyProtection="1"/>
    <xf numFmtId="1" fontId="0" fillId="3" borderId="5" xfId="0" applyNumberFormat="1" applyFill="1" applyBorder="1" applyAlignment="1" applyProtection="1">
      <alignment horizontal="center"/>
      <protection locked="0"/>
    </xf>
    <xf numFmtId="1" fontId="2" fillId="3" borderId="5" xfId="2" applyNumberFormat="1" applyFill="1" applyBorder="1" applyAlignment="1" applyProtection="1">
      <alignment horizontal="center"/>
      <protection locked="0"/>
    </xf>
    <xf numFmtId="2" fontId="4" fillId="5" borderId="5" xfId="2" applyNumberFormat="1" applyFont="1" applyFill="1" applyBorder="1" applyAlignment="1" applyProtection="1">
      <alignment horizontal="center"/>
      <protection locked="0"/>
    </xf>
    <xf numFmtId="0" fontId="5" fillId="0" borderId="0" xfId="2" applyFont="1" applyFill="1" applyBorder="1" applyProtection="1"/>
    <xf numFmtId="0" fontId="2" fillId="7" borderId="6" xfId="2" applyFont="1" applyFill="1" applyBorder="1" applyProtection="1"/>
    <xf numFmtId="0" fontId="4" fillId="7" borderId="15" xfId="2" applyFont="1" applyFill="1" applyBorder="1" applyProtection="1"/>
    <xf numFmtId="0" fontId="2" fillId="7" borderId="15" xfId="2" applyFont="1" applyFill="1" applyBorder="1" applyProtection="1"/>
    <xf numFmtId="0" fontId="4" fillId="7" borderId="7" xfId="2" applyFont="1" applyFill="1" applyBorder="1" applyProtection="1"/>
    <xf numFmtId="0" fontId="2" fillId="7" borderId="8" xfId="2" applyFont="1" applyFill="1" applyBorder="1" applyProtection="1"/>
    <xf numFmtId="49" fontId="4" fillId="5" borderId="0" xfId="0" applyNumberFormat="1" applyFont="1" applyFill="1" applyBorder="1" applyAlignment="1" applyProtection="1">
      <alignment horizontal="center"/>
      <protection locked="0"/>
    </xf>
    <xf numFmtId="164" fontId="4" fillId="5" borderId="13" xfId="2" applyNumberFormat="1" applyFont="1" applyFill="1" applyBorder="1" applyAlignment="1" applyProtection="1">
      <alignment horizontal="center"/>
      <protection locked="0"/>
    </xf>
  </cellXfs>
  <cellStyles count="3">
    <cellStyle name="Prozent" xfId="1" builtinId="5"/>
    <cellStyle name="Standard" xfId="0" builtinId="0"/>
    <cellStyle name="Standard 2" xfId="2"/>
  </cellStyles>
  <dxfs count="1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55944529343413"/>
          <c:y val="0.10861268081332894"/>
          <c:w val="0.6497744266107538"/>
          <c:h val="0.77521613832853031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'without thaumasite'!$AC$302:$AC$314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0</c:v>
                </c:pt>
                <c:pt idx="4">
                  <c:v>10.059171597633137</c:v>
                </c:pt>
                <c:pt idx="5">
                  <c:v>15.625000000000004</c:v>
                </c:pt>
                <c:pt idx="6">
                  <c:v>16.748768472906402</c:v>
                </c:pt>
                <c:pt idx="7">
                  <c:v>15.625000000000004</c:v>
                </c:pt>
                <c:pt idx="8">
                  <c:v>30.088495575221241</c:v>
                </c:pt>
                <c:pt idx="9">
                  <c:v>27.027027027027028</c:v>
                </c:pt>
                <c:pt idx="10">
                  <c:v>100</c:v>
                </c:pt>
                <c:pt idx="11">
                  <c:v>30.088495575221241</c:v>
                </c:pt>
                <c:pt idx="12">
                  <c:v>71.186440677966104</c:v>
                </c:pt>
              </c:numCache>
            </c:numRef>
          </c:xVal>
          <c:yVal>
            <c:numRef>
              <c:f>'without thaumasite'!$AD$302:$AD$313</c:f>
              <c:numCache>
                <c:formatCode>General</c:formatCode>
                <c:ptCount val="12"/>
                <c:pt idx="0">
                  <c:v>0</c:v>
                </c:pt>
                <c:pt idx="1">
                  <c:v>86.602500000000006</c:v>
                </c:pt>
                <c:pt idx="2">
                  <c:v>0</c:v>
                </c:pt>
                <c:pt idx="3">
                  <c:v>0</c:v>
                </c:pt>
                <c:pt idx="4">
                  <c:v>17.422988165680476</c:v>
                </c:pt>
                <c:pt idx="5">
                  <c:v>0</c:v>
                </c:pt>
                <c:pt idx="6">
                  <c:v>29.009704433497536</c:v>
                </c:pt>
                <c:pt idx="7">
                  <c:v>0</c:v>
                </c:pt>
                <c:pt idx="8">
                  <c:v>52.114778761061956</c:v>
                </c:pt>
                <c:pt idx="9">
                  <c:v>0</c:v>
                </c:pt>
                <c:pt idx="10">
                  <c:v>0</c:v>
                </c:pt>
                <c:pt idx="11">
                  <c:v>52.114778761061956</c:v>
                </c:pt>
              </c:numCache>
            </c:numRef>
          </c:yVal>
          <c:smooth val="0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FF000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'without thaumasite'!$AC$315</c:f>
              <c:numCache>
                <c:formatCode>General</c:formatCode>
                <c:ptCount val="1"/>
                <c:pt idx="0">
                  <c:v>22.373185886113081</c:v>
                </c:pt>
              </c:numCache>
            </c:numRef>
          </c:xVal>
          <c:yVal>
            <c:numRef>
              <c:f>'without thaumasite'!$AD$315</c:f>
              <c:numCache>
                <c:formatCode>General</c:formatCode>
                <c:ptCount val="1"/>
                <c:pt idx="0">
                  <c:v>38.751476614042161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136448"/>
        <c:axId val="120138752"/>
      </c:scatterChart>
      <c:valAx>
        <c:axId val="120136448"/>
        <c:scaling>
          <c:orientation val="minMax"/>
          <c:max val="100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120138752"/>
        <c:crosses val="autoZero"/>
        <c:crossBetween val="midCat"/>
        <c:majorUnit val="10"/>
        <c:minorUnit val="5"/>
      </c:valAx>
      <c:valAx>
        <c:axId val="120138752"/>
        <c:scaling>
          <c:orientation val="minMax"/>
          <c:max val="86.602500000000006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20136448"/>
        <c:crosses val="autoZero"/>
        <c:crossBetween val="midCat"/>
        <c:majorUnit val="8.66"/>
      </c:valAx>
      <c:spPr>
        <a:solidFill>
          <a:srgbClr val="FFFFFF"/>
        </a:solidFill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708013253948955E-2"/>
          <c:y val="4.849236246407463E-2"/>
          <c:w val="0.68845865334447343"/>
          <c:h val="0.83496879646483968"/>
        </c:manualLayout>
      </c:layout>
      <c:scatterChart>
        <c:scatterStyle val="lineMarker"/>
        <c:varyColors val="0"/>
        <c:ser>
          <c:idx val="1"/>
          <c:order val="1"/>
          <c:spPr>
            <a:ln w="12700">
              <a:solidFill>
                <a:srgbClr val="000082"/>
              </a:solidFill>
              <a:prstDash val="solid"/>
            </a:ln>
          </c:spPr>
          <c:marker>
            <c:symbol val="none"/>
          </c:marker>
          <c:dPt>
            <c:idx val="2"/>
            <c:bubble3D val="0"/>
          </c:dPt>
          <c:xVal>
            <c:numRef>
              <c:f>'without thaumasite'!$AC$270:$AC$297</c:f>
              <c:numCache>
                <c:formatCode>General</c:formatCode>
                <c:ptCount val="28"/>
                <c:pt idx="0">
                  <c:v>50</c:v>
                </c:pt>
                <c:pt idx="1">
                  <c:v>100</c:v>
                </c:pt>
                <c:pt idx="2">
                  <c:v>0</c:v>
                </c:pt>
                <c:pt idx="3">
                  <c:v>50</c:v>
                </c:pt>
                <c:pt idx="4">
                  <c:v>54.424295306062447</c:v>
                </c:pt>
                <c:pt idx="5">
                  <c:v>100</c:v>
                </c:pt>
                <c:pt idx="6">
                  <c:v>48.141227580656363</c:v>
                </c:pt>
                <c:pt idx="7">
                  <c:v>37.736394954729434</c:v>
                </c:pt>
                <c:pt idx="8">
                  <c:v>48.141227580656363</c:v>
                </c:pt>
                <c:pt idx="9">
                  <c:v>54.424295306062447</c:v>
                </c:pt>
                <c:pt idx="10">
                  <c:v>34.198316380808485</c:v>
                </c:pt>
                <c:pt idx="11">
                  <c:v>48.141227580656363</c:v>
                </c:pt>
                <c:pt idx="12">
                  <c:v>28.103075384813607</c:v>
                </c:pt>
                <c:pt idx="13">
                  <c:v>37.736394954729434</c:v>
                </c:pt>
                <c:pt idx="14">
                  <c:v>21.516461101736553</c:v>
                </c:pt>
                <c:pt idx="15">
                  <c:v>0</c:v>
                </c:pt>
                <c:pt idx="16">
                  <c:v>18.987610585909785</c:v>
                </c:pt>
                <c:pt idx="17">
                  <c:v>0</c:v>
                </c:pt>
                <c:pt idx="18">
                  <c:v>18.987610585909785</c:v>
                </c:pt>
                <c:pt idx="19">
                  <c:v>21.516461101736553</c:v>
                </c:pt>
                <c:pt idx="20">
                  <c:v>28.103075384813607</c:v>
                </c:pt>
                <c:pt idx="21">
                  <c:v>34.198316380808485</c:v>
                </c:pt>
                <c:pt idx="22">
                  <c:v>30.763190581386578</c:v>
                </c:pt>
                <c:pt idx="23">
                  <c:v>34.198316380808485</c:v>
                </c:pt>
                <c:pt idx="24">
                  <c:v>50</c:v>
                </c:pt>
                <c:pt idx="25">
                  <c:v>30.763190581386578</c:v>
                </c:pt>
                <c:pt idx="26">
                  <c:v>28.103075384813607</c:v>
                </c:pt>
                <c:pt idx="27">
                  <c:v>18.987610585909785</c:v>
                </c:pt>
              </c:numCache>
            </c:numRef>
          </c:xVal>
          <c:yVal>
            <c:numRef>
              <c:f>'without thaumasite'!$AD$270:$AD$295</c:f>
              <c:numCache>
                <c:formatCode>General</c:formatCode>
                <c:ptCount val="26"/>
                <c:pt idx="0">
                  <c:v>86.602500000000006</c:v>
                </c:pt>
                <c:pt idx="1">
                  <c:v>0</c:v>
                </c:pt>
                <c:pt idx="2">
                  <c:v>0</c:v>
                </c:pt>
                <c:pt idx="3">
                  <c:v>86.602500000000006</c:v>
                </c:pt>
                <c:pt idx="4">
                  <c:v>60.20834252235543</c:v>
                </c:pt>
                <c:pt idx="5">
                  <c:v>0</c:v>
                </c:pt>
                <c:pt idx="6">
                  <c:v>18.976817715218466</c:v>
                </c:pt>
                <c:pt idx="7">
                  <c:v>0</c:v>
                </c:pt>
                <c:pt idx="8">
                  <c:v>18.976817715218466</c:v>
                </c:pt>
                <c:pt idx="9">
                  <c:v>60.20834252235543</c:v>
                </c:pt>
                <c:pt idx="10">
                  <c:v>50.639774157542426</c:v>
                </c:pt>
                <c:pt idx="11">
                  <c:v>18.976817715218466</c:v>
                </c:pt>
                <c:pt idx="12">
                  <c:v>36.341755216223532</c:v>
                </c:pt>
                <c:pt idx="13">
                  <c:v>0</c:v>
                </c:pt>
                <c:pt idx="14">
                  <c:v>31.860888083746261</c:v>
                </c:pt>
                <c:pt idx="15">
                  <c:v>0</c:v>
                </c:pt>
                <c:pt idx="16">
                  <c:v>32.887490915325046</c:v>
                </c:pt>
                <c:pt idx="17">
                  <c:v>0</c:v>
                </c:pt>
                <c:pt idx="18">
                  <c:v>32.887490915325046</c:v>
                </c:pt>
                <c:pt idx="19">
                  <c:v>31.860888083746261</c:v>
                </c:pt>
                <c:pt idx="20">
                  <c:v>36.341755216223532</c:v>
                </c:pt>
                <c:pt idx="21">
                  <c:v>50.639774157542426</c:v>
                </c:pt>
                <c:pt idx="22">
                  <c:v>53.283384246490627</c:v>
                </c:pt>
                <c:pt idx="23">
                  <c:v>50.639774157542426</c:v>
                </c:pt>
                <c:pt idx="24">
                  <c:v>86.602500000000006</c:v>
                </c:pt>
                <c:pt idx="25">
                  <c:v>53.283384246490627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120896"/>
        <c:axId val="103122816"/>
      </c:scatterChar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2"/>
          <c:order val="2"/>
          <c:marker>
            <c:symbol val="circle"/>
            <c:size val="6"/>
            <c:spPr>
              <a:solidFill>
                <a:srgbClr val="FF0000"/>
              </a:solidFill>
              <a:ln>
                <a:solidFill>
                  <a:srgbClr val="000082"/>
                </a:solidFill>
              </a:ln>
            </c:spPr>
          </c:marker>
          <c:xVal>
            <c:numRef>
              <c:f>'without thaumasite'!$AC$298</c:f>
              <c:numCache>
                <c:formatCode>General</c:formatCode>
                <c:ptCount val="1"/>
                <c:pt idx="0">
                  <c:v>18.304866374403083</c:v>
                </c:pt>
              </c:numCache>
            </c:numRef>
          </c:xVal>
          <c:yVal>
            <c:numRef>
              <c:f>'without thaumasite'!$AD$298</c:f>
              <c:numCache>
                <c:formatCode>General</c:formatCode>
                <c:ptCount val="1"/>
                <c:pt idx="0">
                  <c:v>22.075361406496732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124352"/>
        <c:axId val="103126144"/>
      </c:scatterChart>
      <c:valAx>
        <c:axId val="103120896"/>
        <c:scaling>
          <c:orientation val="minMax"/>
          <c:max val="100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103122816"/>
        <c:crosses val="autoZero"/>
        <c:crossBetween val="midCat"/>
        <c:majorUnit val="10"/>
        <c:minorUnit val="5"/>
      </c:valAx>
      <c:valAx>
        <c:axId val="103122816"/>
        <c:scaling>
          <c:orientation val="minMax"/>
          <c:max val="86.602500000000006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03120896"/>
        <c:crosses val="autoZero"/>
        <c:crossBetween val="midCat"/>
        <c:majorUnit val="8.66"/>
      </c:valAx>
      <c:valAx>
        <c:axId val="1031243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126144"/>
        <c:crosses val="autoZero"/>
        <c:crossBetween val="midCat"/>
      </c:valAx>
      <c:valAx>
        <c:axId val="103126144"/>
        <c:scaling>
          <c:orientation val="minMax"/>
          <c:max val="86.602500000000006"/>
          <c:min val="0"/>
        </c:scaling>
        <c:delete val="1"/>
        <c:axPos val="r"/>
        <c:numFmt formatCode="General" sourceLinked="1"/>
        <c:majorTickMark val="out"/>
        <c:minorTickMark val="none"/>
        <c:tickLblPos val="nextTo"/>
        <c:crossAx val="103124352"/>
        <c:crosses val="max"/>
        <c:crossBetween val="midCat"/>
        <c:majorUnit val="8.6602499999999996"/>
      </c:valAx>
      <c:spPr>
        <a:solidFill>
          <a:schemeClr val="bg1"/>
        </a:solidFill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" footer="0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708095793537785E-2"/>
          <c:y val="0.11275986538173373"/>
          <c:w val="0.67225892064318293"/>
          <c:h val="0.77448183431738327"/>
        </c:manualLayout>
      </c:layout>
      <c:scatterChart>
        <c:scatterStyle val="lineMarker"/>
        <c:varyColors val="0"/>
        <c:ser>
          <c:idx val="1"/>
          <c:order val="1"/>
          <c:spPr>
            <a:ln w="12700">
              <a:solidFill>
                <a:srgbClr val="000082"/>
              </a:solidFill>
              <a:prstDash val="solid"/>
            </a:ln>
          </c:spPr>
          <c:marker>
            <c:symbol val="none"/>
          </c:marker>
          <c:dPt>
            <c:idx val="2"/>
            <c:bubble3D val="0"/>
          </c:dPt>
          <c:xVal>
            <c:numRef>
              <c:f>'with thaumasite'!$AC$286:$AC$313</c:f>
              <c:numCache>
                <c:formatCode>General</c:formatCode>
                <c:ptCount val="28"/>
                <c:pt idx="0">
                  <c:v>50</c:v>
                </c:pt>
                <c:pt idx="1">
                  <c:v>100</c:v>
                </c:pt>
                <c:pt idx="2">
                  <c:v>0</c:v>
                </c:pt>
                <c:pt idx="3">
                  <c:v>50</c:v>
                </c:pt>
                <c:pt idx="4">
                  <c:v>54.424295306062447</c:v>
                </c:pt>
                <c:pt idx="5">
                  <c:v>100</c:v>
                </c:pt>
                <c:pt idx="6">
                  <c:v>48.141227580656363</c:v>
                </c:pt>
                <c:pt idx="7">
                  <c:v>37.736394954729434</c:v>
                </c:pt>
                <c:pt idx="8">
                  <c:v>48.141227580656363</c:v>
                </c:pt>
                <c:pt idx="9">
                  <c:v>54.424295306062447</c:v>
                </c:pt>
                <c:pt idx="10">
                  <c:v>34.198316380808485</c:v>
                </c:pt>
                <c:pt idx="11">
                  <c:v>48.141227580656363</c:v>
                </c:pt>
                <c:pt idx="12">
                  <c:v>28.103075384813607</c:v>
                </c:pt>
                <c:pt idx="13">
                  <c:v>37.736394954729434</c:v>
                </c:pt>
                <c:pt idx="14">
                  <c:v>21.516461101736553</c:v>
                </c:pt>
                <c:pt idx="15">
                  <c:v>0</c:v>
                </c:pt>
                <c:pt idx="16">
                  <c:v>18.987610585909785</c:v>
                </c:pt>
                <c:pt idx="17">
                  <c:v>0</c:v>
                </c:pt>
                <c:pt idx="18">
                  <c:v>18.987610585909785</c:v>
                </c:pt>
                <c:pt idx="19">
                  <c:v>21.516461101736553</c:v>
                </c:pt>
                <c:pt idx="20">
                  <c:v>28.103075384813607</c:v>
                </c:pt>
                <c:pt idx="21">
                  <c:v>34.198316380808485</c:v>
                </c:pt>
                <c:pt idx="22">
                  <c:v>30.763190581386578</c:v>
                </c:pt>
                <c:pt idx="23">
                  <c:v>34.198316380808485</c:v>
                </c:pt>
                <c:pt idx="24">
                  <c:v>50</c:v>
                </c:pt>
                <c:pt idx="25">
                  <c:v>30.763190581386578</c:v>
                </c:pt>
                <c:pt idx="26">
                  <c:v>28.103075384813607</c:v>
                </c:pt>
                <c:pt idx="27">
                  <c:v>18.987610585909785</c:v>
                </c:pt>
              </c:numCache>
            </c:numRef>
          </c:xVal>
          <c:yVal>
            <c:numRef>
              <c:f>'with thaumasite'!$AD$286:$AD$310</c:f>
              <c:numCache>
                <c:formatCode>General</c:formatCode>
                <c:ptCount val="25"/>
                <c:pt idx="0">
                  <c:v>86.602500000000006</c:v>
                </c:pt>
                <c:pt idx="1">
                  <c:v>0</c:v>
                </c:pt>
                <c:pt idx="2">
                  <c:v>0</c:v>
                </c:pt>
                <c:pt idx="3">
                  <c:v>86.602500000000006</c:v>
                </c:pt>
                <c:pt idx="4">
                  <c:v>60.20834252235543</c:v>
                </c:pt>
                <c:pt idx="5">
                  <c:v>0</c:v>
                </c:pt>
                <c:pt idx="6">
                  <c:v>18.976817715218466</c:v>
                </c:pt>
                <c:pt idx="7">
                  <c:v>0</c:v>
                </c:pt>
                <c:pt idx="8">
                  <c:v>18.976817715218466</c:v>
                </c:pt>
                <c:pt idx="9">
                  <c:v>60.20834252235543</c:v>
                </c:pt>
                <c:pt idx="10">
                  <c:v>50.639774157542426</c:v>
                </c:pt>
                <c:pt idx="11">
                  <c:v>18.976817715218466</c:v>
                </c:pt>
                <c:pt idx="12">
                  <c:v>36.341755216223532</c:v>
                </c:pt>
                <c:pt idx="13">
                  <c:v>0</c:v>
                </c:pt>
                <c:pt idx="14">
                  <c:v>31.860888083746261</c:v>
                </c:pt>
                <c:pt idx="15">
                  <c:v>0</c:v>
                </c:pt>
                <c:pt idx="16">
                  <c:v>32.887490915325046</c:v>
                </c:pt>
                <c:pt idx="17">
                  <c:v>0</c:v>
                </c:pt>
                <c:pt idx="18">
                  <c:v>32.887490915325046</c:v>
                </c:pt>
                <c:pt idx="19">
                  <c:v>31.860888083746261</c:v>
                </c:pt>
                <c:pt idx="20">
                  <c:v>36.341755216223532</c:v>
                </c:pt>
                <c:pt idx="21">
                  <c:v>50.639774157542426</c:v>
                </c:pt>
                <c:pt idx="22">
                  <c:v>53.283384246490627</c:v>
                </c:pt>
                <c:pt idx="23">
                  <c:v>50.639774157542426</c:v>
                </c:pt>
                <c:pt idx="24">
                  <c:v>86.602500000000006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620992"/>
        <c:axId val="103622912"/>
      </c:scatterChar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#REF!</c:f>
            </c:numRef>
          </c:xVal>
          <c:y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2"/>
          <c:order val="2"/>
          <c:marker>
            <c:symbol val="circle"/>
            <c:size val="6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'with thaumasite'!$AC$314</c:f>
              <c:numCache>
                <c:formatCode>General</c:formatCode>
                <c:ptCount val="1"/>
                <c:pt idx="0">
                  <c:v>19.872927729664543</c:v>
                </c:pt>
              </c:numCache>
            </c:numRef>
          </c:xVal>
          <c:yVal>
            <c:numRef>
              <c:f>'with thaumasite'!$AD$314</c:f>
              <c:numCache>
                <c:formatCode>General</c:formatCode>
                <c:ptCount val="1"/>
                <c:pt idx="0">
                  <c:v>23.764025352443774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624704"/>
        <c:axId val="103626240"/>
      </c:scatterChart>
      <c:valAx>
        <c:axId val="103620992"/>
        <c:scaling>
          <c:orientation val="minMax"/>
          <c:max val="100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103622912"/>
        <c:crosses val="autoZero"/>
        <c:crossBetween val="midCat"/>
        <c:majorUnit val="10"/>
        <c:minorUnit val="5"/>
      </c:valAx>
      <c:valAx>
        <c:axId val="103622912"/>
        <c:scaling>
          <c:orientation val="minMax"/>
          <c:max val="86.602500000000006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03620992"/>
        <c:crosses val="autoZero"/>
        <c:crossBetween val="midCat"/>
        <c:majorUnit val="8.66"/>
      </c:valAx>
      <c:valAx>
        <c:axId val="103624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626240"/>
        <c:crosses val="autoZero"/>
        <c:crossBetween val="midCat"/>
      </c:valAx>
      <c:valAx>
        <c:axId val="103626240"/>
        <c:scaling>
          <c:orientation val="minMax"/>
          <c:max val="86.602500000000006"/>
          <c:min val="0"/>
        </c:scaling>
        <c:delete val="1"/>
        <c:axPos val="r"/>
        <c:numFmt formatCode="General" sourceLinked="1"/>
        <c:majorTickMark val="out"/>
        <c:minorTickMark val="none"/>
        <c:tickLblPos val="nextTo"/>
        <c:crossAx val="103624704"/>
        <c:crosses val="max"/>
        <c:crossBetween val="midCat"/>
        <c:majorUnit val="8.6602499999999996"/>
      </c:valAx>
      <c:spPr>
        <a:solidFill>
          <a:schemeClr val="bg1"/>
        </a:solidFill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" footer="0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09175442113409"/>
          <c:y val="0.11239193083573487"/>
          <c:w val="0.63735012580296024"/>
          <c:h val="0.77521613832853031"/>
        </c:manualLayout>
      </c:layout>
      <c:scatterChart>
        <c:scatterStyle val="lineMarker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xVal>
            <c:numRef>
              <c:f>'with thaumasite'!$AC$318:$AC$330</c:f>
              <c:numCache>
                <c:formatCode>General</c:formatCode>
                <c:ptCount val="13"/>
                <c:pt idx="0">
                  <c:v>0</c:v>
                </c:pt>
                <c:pt idx="1">
                  <c:v>50</c:v>
                </c:pt>
                <c:pt idx="2">
                  <c:v>100</c:v>
                </c:pt>
                <c:pt idx="3">
                  <c:v>0</c:v>
                </c:pt>
                <c:pt idx="4">
                  <c:v>10.059171597633137</c:v>
                </c:pt>
                <c:pt idx="5">
                  <c:v>15.625000000000004</c:v>
                </c:pt>
                <c:pt idx="6">
                  <c:v>16.748768472906402</c:v>
                </c:pt>
                <c:pt idx="7">
                  <c:v>15.625000000000004</c:v>
                </c:pt>
                <c:pt idx="8">
                  <c:v>30.088495575221241</c:v>
                </c:pt>
                <c:pt idx="9">
                  <c:v>27.027027027027028</c:v>
                </c:pt>
                <c:pt idx="10">
                  <c:v>100</c:v>
                </c:pt>
                <c:pt idx="11">
                  <c:v>30.088495575221241</c:v>
                </c:pt>
                <c:pt idx="12">
                  <c:v>71.186440677966104</c:v>
                </c:pt>
              </c:numCache>
            </c:numRef>
          </c:xVal>
          <c:yVal>
            <c:numRef>
              <c:f>'with thaumasite'!$AD$318:$AD$330</c:f>
              <c:numCache>
                <c:formatCode>General</c:formatCode>
                <c:ptCount val="13"/>
                <c:pt idx="0">
                  <c:v>0</c:v>
                </c:pt>
                <c:pt idx="1">
                  <c:v>86.602500000000006</c:v>
                </c:pt>
                <c:pt idx="2">
                  <c:v>0</c:v>
                </c:pt>
                <c:pt idx="3">
                  <c:v>0</c:v>
                </c:pt>
                <c:pt idx="4">
                  <c:v>17.422988165680476</c:v>
                </c:pt>
                <c:pt idx="5">
                  <c:v>0</c:v>
                </c:pt>
                <c:pt idx="6">
                  <c:v>29.009704433497536</c:v>
                </c:pt>
                <c:pt idx="7">
                  <c:v>0</c:v>
                </c:pt>
                <c:pt idx="8">
                  <c:v>52.114778761061956</c:v>
                </c:pt>
                <c:pt idx="9">
                  <c:v>0</c:v>
                </c:pt>
                <c:pt idx="10">
                  <c:v>0</c:v>
                </c:pt>
                <c:pt idx="11">
                  <c:v>52.114778761061956</c:v>
                </c:pt>
                <c:pt idx="12">
                  <c:v>49.906525423728816</c:v>
                </c:pt>
              </c:numCache>
            </c:numRef>
          </c:yVal>
          <c:smooth val="0"/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circle"/>
            <c:size val="6"/>
            <c:spPr>
              <a:solidFill>
                <a:srgbClr val="FF000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'with thaumasite'!$AC$331</c:f>
              <c:numCache>
                <c:formatCode>General</c:formatCode>
                <c:ptCount val="1"/>
                <c:pt idx="0">
                  <c:v>55.829780486729931</c:v>
                </c:pt>
              </c:numCache>
            </c:numRef>
          </c:xVal>
          <c:yVal>
            <c:numRef>
              <c:f>'with thaumasite'!$AD$331</c:f>
              <c:numCache>
                <c:formatCode>General</c:formatCode>
                <c:ptCount val="1"/>
                <c:pt idx="0">
                  <c:v>60.427771794507166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998400"/>
        <c:axId val="105000320"/>
      </c:scatterChart>
      <c:valAx>
        <c:axId val="104998400"/>
        <c:scaling>
          <c:orientation val="minMax"/>
          <c:max val="100"/>
          <c:min val="0"/>
        </c:scaling>
        <c:delete val="1"/>
        <c:axPos val="b"/>
        <c:numFmt formatCode="General" sourceLinked="1"/>
        <c:majorTickMark val="out"/>
        <c:minorTickMark val="none"/>
        <c:tickLblPos val="nextTo"/>
        <c:crossAx val="105000320"/>
        <c:crosses val="autoZero"/>
        <c:crossBetween val="midCat"/>
        <c:majorUnit val="10"/>
        <c:minorUnit val="5"/>
      </c:valAx>
      <c:valAx>
        <c:axId val="105000320"/>
        <c:scaling>
          <c:orientation val="minMax"/>
          <c:max val="86.602500000000006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104998400"/>
        <c:crosses val="autoZero"/>
        <c:crossBetween val="midCat"/>
        <c:majorUnit val="8.66"/>
      </c:valAx>
      <c:spPr>
        <a:solidFill>
          <a:srgbClr val="FFFFFF"/>
        </a:solidFill>
        <a:ln w="12700">
          <a:noFill/>
          <a:prstDash val="solid"/>
        </a:ln>
      </c:spPr>
    </c:plotArea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1" l="0.75" r="0.75" t="1" header="0" footer="0"/>
    <c:pageSetup paperSize="9"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180972</xdr:colOff>
      <xdr:row>18</xdr:row>
      <xdr:rowOff>93685</xdr:rowOff>
    </xdr:from>
    <xdr:to>
      <xdr:col>10</xdr:col>
      <xdr:colOff>838764</xdr:colOff>
      <xdr:row>39</xdr:row>
      <xdr:rowOff>88694</xdr:rowOff>
    </xdr:to>
    <xdr:graphicFrame macro="">
      <xdr:nvGraphicFramePr>
        <xdr:cNvPr id="2" name="Chart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0</xdr:col>
      <xdr:colOff>0</xdr:colOff>
      <xdr:row>18</xdr:row>
      <xdr:rowOff>89754</xdr:rowOff>
    </xdr:from>
    <xdr:to>
      <xdr:col>5</xdr:col>
      <xdr:colOff>571500</xdr:colOff>
      <xdr:row>39</xdr:row>
      <xdr:rowOff>42129</xdr:rowOff>
    </xdr:to>
    <xdr:graphicFrame macro="">
      <xdr:nvGraphicFramePr>
        <xdr:cNvPr id="3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0.07984</cdr:x>
      <cdr:y>0.32396</cdr:y>
    </cdr:from>
    <cdr:to>
      <cdr:x>0.07984</cdr:x>
      <cdr:y>0.32396</cdr:y>
    </cdr:to>
    <cdr:sp macro="" textlink="">
      <cdr:nvSpPr>
        <cdr:cNvPr id="10240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5502" y="10770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0.1199</cdr:x>
      <cdr:y>0.38903</cdr:y>
    </cdr:from>
    <cdr:to>
      <cdr:x>0.1199</cdr:x>
      <cdr:y>0.38903</cdr:y>
    </cdr:to>
    <cdr:sp macro="" textlink="">
      <cdr:nvSpPr>
        <cdr:cNvPr id="102405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2256" y="1292703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0.8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y</a:t>
          </a:r>
          <a:endParaRPr lang="da-DK"/>
        </a:p>
      </cdr:txBody>
    </cdr:sp>
  </cdr:relSizeAnchor>
  <cdr:relSizeAnchor xmlns:cdr="http://schemas.openxmlformats.org/drawingml/2006/chartDrawing">
    <cdr:from>
      <cdr:x>0.07031</cdr:x>
      <cdr:y>0.54735</cdr:y>
    </cdr:from>
    <cdr:to>
      <cdr:x>0.07031</cdr:x>
      <cdr:y>0.54735</cdr:y>
    </cdr:to>
    <cdr:sp macro="" textlink="">
      <cdr:nvSpPr>
        <cdr:cNvPr id="102406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5847" y="1817473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1.7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x</a:t>
          </a:r>
          <a:endParaRPr lang="da-DK"/>
        </a:p>
      </cdr:txBody>
    </cdr:sp>
  </cdr:relSizeAnchor>
  <cdr:relSizeAnchor xmlns:cdr="http://schemas.openxmlformats.org/drawingml/2006/chartDrawing">
    <cdr:from>
      <cdr:x>0.53005</cdr:x>
      <cdr:y>0.71441</cdr:y>
    </cdr:from>
    <cdr:to>
      <cdr:x>0.53005</cdr:x>
      <cdr:y>0.71441</cdr:y>
    </cdr:to>
    <cdr:sp macro="" textlink="">
      <cdr:nvSpPr>
        <cdr:cNvPr id="102407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09453" y="2371219"/>
          <a:ext cx="0" cy="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S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12</a:t>
          </a:r>
        </a:p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12</a:t>
          </a:r>
        </a:p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A.3C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S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32</a:t>
          </a:r>
          <a:endParaRPr lang="da-DK"/>
        </a:p>
      </cdr:txBody>
    </cdr:sp>
  </cdr:relSizeAnchor>
  <cdr:relSizeAnchor xmlns:cdr="http://schemas.openxmlformats.org/drawingml/2006/chartDrawing">
    <cdr:from>
      <cdr:x>0.01535</cdr:x>
      <cdr:y>0.74743</cdr:y>
    </cdr:from>
    <cdr:to>
      <cdr:x>0.01535</cdr:x>
      <cdr:y>0.74743</cdr:y>
    </cdr:to>
    <cdr:sp macro="" textlink="">
      <cdr:nvSpPr>
        <cdr:cNvPr id="102408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69" y="248068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CH</a:t>
          </a:r>
          <a:endParaRPr lang="da-DK"/>
        </a:p>
      </cdr:txBody>
    </cdr:sp>
  </cdr:relSizeAnchor>
  <cdr:relSizeAnchor xmlns:cdr="http://schemas.openxmlformats.org/drawingml/2006/chartDrawing">
    <cdr:from>
      <cdr:x>0.27038</cdr:x>
      <cdr:y>0.88996</cdr:y>
    </cdr:from>
    <cdr:to>
      <cdr:x>0.27038</cdr:x>
      <cdr:y>0.88996</cdr:y>
    </cdr:to>
    <cdr:sp macro="" textlink="">
      <cdr:nvSpPr>
        <cdr:cNvPr id="102409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28601" y="29531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endParaRPr lang="da-DK"/>
        </a:p>
      </cdr:txBody>
    </cdr:sp>
  </cdr:relSizeAnchor>
  <cdr:relSizeAnchor xmlns:cdr="http://schemas.openxmlformats.org/drawingml/2006/chartDrawing">
    <cdr:from>
      <cdr:x>0.40986</cdr:x>
      <cdr:y>0.6571</cdr:y>
    </cdr:from>
    <cdr:to>
      <cdr:x>0.40986</cdr:x>
      <cdr:y>0.6571</cdr:y>
    </cdr:to>
    <cdr:sp macro="" textlink="">
      <cdr:nvSpPr>
        <cdr:cNvPr id="102410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09191" y="218127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stratlingite</a:t>
          </a:r>
          <a:endParaRPr lang="da-DK"/>
        </a:p>
      </cdr:txBody>
    </cdr:sp>
  </cdr:relSizeAnchor>
  <cdr:relSizeAnchor xmlns:cdr="http://schemas.openxmlformats.org/drawingml/2006/chartDrawing">
    <cdr:from>
      <cdr:x>0.53005</cdr:x>
      <cdr:y>0.08211</cdr:y>
    </cdr:from>
    <cdr:to>
      <cdr:x>0.53005</cdr:x>
      <cdr:y>0.08211</cdr:y>
    </cdr:to>
    <cdr:sp macro="" textlink="">
      <cdr:nvSpPr>
        <cdr:cNvPr id="102411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09453" y="275357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silica gel</a:t>
          </a:r>
          <a:endParaRPr lang="da-DK"/>
        </a:p>
      </cdr:txBody>
    </cdr:sp>
  </cdr:relSizeAnchor>
  <cdr:relSizeAnchor xmlns:cdr="http://schemas.openxmlformats.org/drawingml/2006/chartDrawing">
    <cdr:from>
      <cdr:x>0.88889</cdr:x>
      <cdr:y>0.83023</cdr:y>
    </cdr:from>
    <cdr:to>
      <cdr:x>0.88889</cdr:x>
      <cdr:y>0.83023</cdr:y>
    </cdr:to>
    <cdr:sp macro="" textlink="">
      <cdr:nvSpPr>
        <cdr:cNvPr id="102412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03123" y="2755138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gibsite</a:t>
          </a:r>
          <a:endParaRPr lang="da-DK"/>
        </a:p>
      </cdr:txBody>
    </cdr:sp>
  </cdr:relSizeAnchor>
  <cdr:relSizeAnchor xmlns:cdr="http://schemas.openxmlformats.org/drawingml/2006/chartDrawing">
    <cdr:from>
      <cdr:x>0.08517</cdr:x>
      <cdr:y>0.83224</cdr:y>
    </cdr:from>
    <cdr:to>
      <cdr:x>0.18899</cdr:x>
      <cdr:y>0.90314</cdr:y>
    </cdr:to>
    <cdr:sp macro="" textlink="">
      <cdr:nvSpPr>
        <cdr:cNvPr id="102414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516" y="2831313"/>
          <a:ext cx="517474" cy="2412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5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1050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da-DK" sz="105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endParaRPr lang="da-DK" sz="1050"/>
        </a:p>
      </cdr:txBody>
    </cdr:sp>
  </cdr:relSizeAnchor>
  <cdr:relSizeAnchor xmlns:cdr="http://schemas.openxmlformats.org/drawingml/2006/chartDrawing">
    <cdr:from>
      <cdr:x>0.47875</cdr:x>
      <cdr:y>0.04496</cdr:y>
    </cdr:from>
    <cdr:to>
      <cdr:x>0.55154</cdr:x>
      <cdr:y>0.11829</cdr:y>
    </cdr:to>
    <cdr:sp macro="" textlink="">
      <cdr:nvSpPr>
        <cdr:cNvPr id="102415" name="Text Box 1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95926" y="152213"/>
          <a:ext cx="303005" cy="2430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S</a:t>
          </a:r>
          <a:endParaRPr lang="da-DK"/>
        </a:p>
      </cdr:txBody>
    </cdr:sp>
  </cdr:relSizeAnchor>
  <cdr:relSizeAnchor xmlns:cdr="http://schemas.openxmlformats.org/drawingml/2006/chartDrawing">
    <cdr:from>
      <cdr:x>0.21312</cdr:x>
      <cdr:y>0.58088</cdr:y>
    </cdr:from>
    <cdr:to>
      <cdr:x>0.26906</cdr:x>
      <cdr:y>0.64911</cdr:y>
    </cdr:to>
    <cdr:sp macro="" textlink="">
      <cdr:nvSpPr>
        <cdr:cNvPr id="102416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2261" y="1976157"/>
          <a:ext cx="278824" cy="2321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Ms</a:t>
          </a:r>
          <a:endParaRPr lang="da-DK"/>
        </a:p>
      </cdr:txBody>
    </cdr:sp>
  </cdr:relSizeAnchor>
  <cdr:relSizeAnchor xmlns:cdr="http://schemas.openxmlformats.org/drawingml/2006/chartDrawing">
    <cdr:from>
      <cdr:x>0.22433</cdr:x>
      <cdr:y>0.89755</cdr:y>
    </cdr:from>
    <cdr:to>
      <cdr:x>0.32505</cdr:x>
      <cdr:y>0.94898</cdr:y>
    </cdr:to>
    <cdr:sp macro="" textlink="">
      <cdr:nvSpPr>
        <cdr:cNvPr id="102417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18135" y="3053476"/>
          <a:ext cx="502023" cy="174966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Hc</a:t>
          </a:r>
          <a:endParaRPr lang="da-DK"/>
        </a:p>
      </cdr:txBody>
    </cdr:sp>
  </cdr:relSizeAnchor>
  <cdr:relSizeAnchor xmlns:cdr="http://schemas.openxmlformats.org/drawingml/2006/chartDrawing">
    <cdr:from>
      <cdr:x>0.30873</cdr:x>
      <cdr:y>0.90341</cdr:y>
    </cdr:from>
    <cdr:to>
      <cdr:x>0.3825</cdr:x>
      <cdr:y>0.951</cdr:y>
    </cdr:to>
    <cdr:sp macro="" textlink="">
      <cdr:nvSpPr>
        <cdr:cNvPr id="102418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38815" y="3073436"/>
          <a:ext cx="367695" cy="16190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Mc</a:t>
          </a:r>
          <a:endParaRPr lang="da-DK"/>
        </a:p>
      </cdr:txBody>
    </cdr:sp>
  </cdr:relSizeAnchor>
  <cdr:relSizeAnchor xmlns:cdr="http://schemas.openxmlformats.org/drawingml/2006/chartDrawing">
    <cdr:from>
      <cdr:x>0.30713</cdr:x>
      <cdr:y>0.38645</cdr:y>
    </cdr:from>
    <cdr:to>
      <cdr:x>0.3809</cdr:x>
      <cdr:y>0.4321</cdr:y>
    </cdr:to>
    <cdr:sp macro="" textlink="">
      <cdr:nvSpPr>
        <cdr:cNvPr id="102419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30839" y="1314709"/>
          <a:ext cx="367695" cy="1553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Ett</a:t>
          </a:r>
          <a:endParaRPr lang="da-DK"/>
        </a:p>
      </cdr:txBody>
    </cdr:sp>
  </cdr:relSizeAnchor>
  <cdr:relSizeAnchor xmlns:cdr="http://schemas.openxmlformats.org/drawingml/2006/chartDrawing">
    <cdr:from>
      <cdr:x>0.81508</cdr:x>
      <cdr:y>0.87082</cdr:y>
    </cdr:from>
    <cdr:to>
      <cdr:x>0.95998</cdr:x>
      <cdr:y>0.97142</cdr:y>
    </cdr:to>
    <cdr:sp macro="" textlink="">
      <cdr:nvSpPr>
        <cdr:cNvPr id="102420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057517" y="2999471"/>
          <a:ext cx="721314" cy="346508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50" b="0" i="0" u="none" strike="noStrike" baseline="0">
              <a:solidFill>
                <a:srgbClr val="000000"/>
              </a:solidFill>
              <a:latin typeface="Arial"/>
              <a:cs typeface="Arial"/>
            </a:rPr>
            <a:t>CaCO</a:t>
          </a:r>
          <a:r>
            <a:rPr lang="da-DK" sz="1050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endParaRPr lang="da-DK" sz="1050" baseline="-25000"/>
        </a:p>
      </cdr:txBody>
    </cdr:sp>
  </cdr:relSizeAnchor>
  <cdr:relSizeAnchor xmlns:cdr="http://schemas.openxmlformats.org/drawingml/2006/chartDrawing">
    <cdr:from>
      <cdr:x>0.44673</cdr:x>
      <cdr:y>0.03603</cdr:y>
    </cdr:from>
    <cdr:to>
      <cdr:x>0.56002</cdr:x>
      <cdr:y>0.08762</cdr:y>
    </cdr:to>
    <cdr:sp macro="" textlink="">
      <cdr:nvSpPr>
        <cdr:cNvPr id="102421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29931" y="125930"/>
          <a:ext cx="565505" cy="18033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50" b="0" i="0" u="none" strike="noStrike" baseline="0">
              <a:solidFill>
                <a:srgbClr val="000000"/>
              </a:solidFill>
              <a:latin typeface="Arial"/>
              <a:cs typeface="Arial"/>
            </a:rPr>
            <a:t>CaSO</a:t>
          </a:r>
          <a:r>
            <a:rPr lang="da-DK" sz="1050" b="0" i="0" u="none" strike="noStrike" baseline="-25000">
              <a:solidFill>
                <a:srgbClr val="000000"/>
              </a:solidFill>
              <a:latin typeface="Arial"/>
              <a:cs typeface="Arial"/>
            </a:rPr>
            <a:t>4</a:t>
          </a:r>
          <a:endParaRPr lang="da-DK" sz="1050" baseline="-25000"/>
        </a:p>
      </cdr:txBody>
    </cdr:sp>
  </cdr:relSizeAnchor>
  <cdr:relSizeAnchor xmlns:cdr="http://schemas.openxmlformats.org/drawingml/2006/chartDrawing">
    <cdr:from>
      <cdr:x>0.16985</cdr:x>
      <cdr:y>0.67828</cdr:y>
    </cdr:from>
    <cdr:to>
      <cdr:x>0.22579</cdr:x>
      <cdr:y>0.74651</cdr:y>
    </cdr:to>
    <cdr:sp macro="" textlink="">
      <cdr:nvSpPr>
        <cdr:cNvPr id="29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46589" y="2307536"/>
          <a:ext cx="278824" cy="23212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Hs</a:t>
          </a:r>
          <a:endParaRPr lang="da-DK"/>
        </a:p>
      </cdr:txBody>
    </cdr:sp>
  </cdr:relSizeAnchor>
  <cdr:relSizeAnchor xmlns:cdr="http://schemas.openxmlformats.org/drawingml/2006/chartDrawing">
    <cdr:from>
      <cdr:x>0.09127</cdr:x>
      <cdr:y>0.08233</cdr:y>
    </cdr:from>
    <cdr:to>
      <cdr:x>0.16109</cdr:x>
      <cdr:y>0.15539</cdr:y>
    </cdr:to>
    <cdr:sp macro="" textlink="">
      <cdr:nvSpPr>
        <cdr:cNvPr id="25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55056" y="280444"/>
          <a:ext cx="348103" cy="24885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1075" b="1" i="0" u="none" strike="noStrike" baseline="0">
              <a:solidFill>
                <a:srgbClr val="000000"/>
              </a:solidFill>
              <a:latin typeface="Arial"/>
              <a:cs typeface="Arial"/>
            </a:rPr>
            <a:t>wt%</a:t>
          </a:r>
          <a:endParaRPr lang="da-DK" b="1"/>
        </a:p>
      </cdr:txBody>
    </cdr:sp>
  </cdr:relSizeAnchor>
  <cdr:relSizeAnchor xmlns:cdr="http://schemas.openxmlformats.org/drawingml/2006/chartDrawing">
    <cdr:from>
      <cdr:x>0.22329</cdr:x>
      <cdr:y>0.62564</cdr:y>
    </cdr:from>
    <cdr:to>
      <cdr:x>0.26949</cdr:x>
      <cdr:y>0.88358</cdr:y>
    </cdr:to>
    <cdr:sp macro="" textlink="">
      <cdr:nvSpPr>
        <cdr:cNvPr id="27" name="Freihandform 26"/>
        <cdr:cNvSpPr/>
      </cdr:nvSpPr>
      <cdr:spPr>
        <a:xfrm xmlns:a="http://schemas.openxmlformats.org/drawingml/2006/main">
          <a:off x="1112953" y="2128430"/>
          <a:ext cx="230276" cy="877548"/>
        </a:xfrm>
        <a:custGeom xmlns:a="http://schemas.openxmlformats.org/drawingml/2006/main">
          <a:avLst/>
          <a:gdLst>
            <a:gd name="connsiteX0" fmla="*/ 0 w 251732"/>
            <a:gd name="connsiteY0" fmla="*/ 340179 h 809625"/>
            <a:gd name="connsiteX1" fmla="*/ 251732 w 251732"/>
            <a:gd name="connsiteY1" fmla="*/ 0 h 809625"/>
            <a:gd name="connsiteX2" fmla="*/ 224518 w 251732"/>
            <a:gd name="connsiteY2" fmla="*/ 809625 h 809625"/>
            <a:gd name="connsiteX3" fmla="*/ 0 w 251732"/>
            <a:gd name="connsiteY3" fmla="*/ 340179 h 809625"/>
            <a:gd name="connsiteX0" fmla="*/ 0 w 251732"/>
            <a:gd name="connsiteY0" fmla="*/ 340179 h 836839"/>
            <a:gd name="connsiteX1" fmla="*/ 251732 w 251732"/>
            <a:gd name="connsiteY1" fmla="*/ 0 h 836839"/>
            <a:gd name="connsiteX2" fmla="*/ 224518 w 251732"/>
            <a:gd name="connsiteY2" fmla="*/ 836839 h 836839"/>
            <a:gd name="connsiteX3" fmla="*/ 0 w 251732"/>
            <a:gd name="connsiteY3" fmla="*/ 340179 h 836839"/>
            <a:gd name="connsiteX0" fmla="*/ 0 w 251732"/>
            <a:gd name="connsiteY0" fmla="*/ 340179 h 887880"/>
            <a:gd name="connsiteX1" fmla="*/ 251732 w 251732"/>
            <a:gd name="connsiteY1" fmla="*/ 0 h 887880"/>
            <a:gd name="connsiteX2" fmla="*/ 231830 w 251732"/>
            <a:gd name="connsiteY2" fmla="*/ 887880 h 887880"/>
            <a:gd name="connsiteX3" fmla="*/ 0 w 251732"/>
            <a:gd name="connsiteY3" fmla="*/ 340179 h 887880"/>
            <a:gd name="connsiteX0" fmla="*/ 0 w 229797"/>
            <a:gd name="connsiteY0" fmla="*/ 354762 h 887880"/>
            <a:gd name="connsiteX1" fmla="*/ 229797 w 229797"/>
            <a:gd name="connsiteY1" fmla="*/ 0 h 887880"/>
            <a:gd name="connsiteX2" fmla="*/ 209895 w 229797"/>
            <a:gd name="connsiteY2" fmla="*/ 887880 h 887880"/>
            <a:gd name="connsiteX3" fmla="*/ 0 w 229797"/>
            <a:gd name="connsiteY3" fmla="*/ 354762 h 887880"/>
            <a:gd name="connsiteX0" fmla="*/ 0 w 229797"/>
            <a:gd name="connsiteY0" fmla="*/ 354762 h 873297"/>
            <a:gd name="connsiteX1" fmla="*/ 229797 w 229797"/>
            <a:gd name="connsiteY1" fmla="*/ 0 h 873297"/>
            <a:gd name="connsiteX2" fmla="*/ 180648 w 229797"/>
            <a:gd name="connsiteY2" fmla="*/ 873297 h 873297"/>
            <a:gd name="connsiteX3" fmla="*/ 0 w 229797"/>
            <a:gd name="connsiteY3" fmla="*/ 354762 h 87329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229797" h="873297">
              <a:moveTo>
                <a:pt x="0" y="354762"/>
              </a:moveTo>
              <a:lnTo>
                <a:pt x="229797" y="0"/>
              </a:lnTo>
              <a:lnTo>
                <a:pt x="180648" y="873297"/>
              </a:lnTo>
              <a:lnTo>
                <a:pt x="0" y="354762"/>
              </a:lnTo>
              <a:close/>
            </a:path>
          </a:pathLst>
        </a:custGeom>
        <a:solidFill xmlns:a="http://schemas.openxmlformats.org/drawingml/2006/main">
          <a:schemeClr val="accent1">
            <a:alpha val="23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0.67015</cdr:x>
      <cdr:y>0.06468</cdr:y>
    </cdr:from>
    <cdr:to>
      <cdr:x>0.8519</cdr:x>
      <cdr:y>0.37623</cdr:y>
    </cdr:to>
    <cdr:sp macro="" textlink="">
      <cdr:nvSpPr>
        <cdr:cNvPr id="28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41176" y="220310"/>
          <a:ext cx="906154" cy="10611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Excess phases:</a:t>
          </a:r>
        </a:p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pore solution </a:t>
          </a:r>
        </a:p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C-A-S-H</a:t>
          </a:r>
        </a:p>
        <a:p xmlns:a="http://schemas.openxmlformats.org/drawingml/2006/main">
          <a:pPr rtl="0"/>
          <a:r>
            <a:rPr lang="da-DK" sz="80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portlandite</a:t>
          </a:r>
          <a:r>
            <a:rPr lang="da-DK" sz="800" i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or strätlingite</a:t>
          </a:r>
          <a:endParaRPr lang="de-CH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FH</a:t>
          </a:r>
        </a:p>
        <a:p xmlns:a="http://schemas.openxmlformats.org/drawingml/2006/main">
          <a:pPr algn="l" rtl="0">
            <a:defRPr sz="1000"/>
          </a:pPr>
          <a:r>
            <a:rPr lang="da-DK" sz="800" i="1">
              <a:latin typeface="Arial" panose="020B0604020202020204" pitchFamily="34" charset="0"/>
              <a:cs typeface="Arial" panose="020B0604020202020204" pitchFamily="34" charset="0"/>
            </a:rPr>
            <a:t>M</a:t>
          </a:r>
          <a:r>
            <a:rPr lang="da-DK" sz="800" i="1" baseline="-25000">
              <a:latin typeface="Arial" panose="020B0604020202020204" pitchFamily="34" charset="0"/>
              <a:cs typeface="Arial" panose="020B0604020202020204" pitchFamily="34" charset="0"/>
            </a:rPr>
            <a:t>4</a:t>
          </a:r>
          <a:r>
            <a:rPr lang="da-DK" sz="800" i="1">
              <a:latin typeface="Arial" panose="020B0604020202020204" pitchFamily="34" charset="0"/>
              <a:cs typeface="Arial" panose="020B0604020202020204" pitchFamily="34" charset="0"/>
            </a:rPr>
            <a:t>AH</a:t>
          </a:r>
          <a:r>
            <a:rPr lang="da-DK" sz="800" i="1" baseline="-25000">
              <a:latin typeface="Arial" panose="020B0604020202020204" pitchFamily="34" charset="0"/>
              <a:cs typeface="Arial" panose="020B0604020202020204" pitchFamily="34" charset="0"/>
            </a:rPr>
            <a:t>10</a:t>
          </a:r>
        </a:p>
      </cdr:txBody>
    </cdr:sp>
  </cdr:relSizeAnchor>
  <cdr:relSizeAnchor xmlns:cdr="http://schemas.openxmlformats.org/drawingml/2006/chartDrawing">
    <cdr:from>
      <cdr:x>0.10878</cdr:x>
      <cdr:y>0.89898</cdr:y>
    </cdr:from>
    <cdr:to>
      <cdr:x>0.2317</cdr:x>
      <cdr:y>1</cdr:y>
    </cdr:to>
    <cdr:sp macro="" textlink="">
      <cdr:nvSpPr>
        <cdr:cNvPr id="31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2991" y="3142334"/>
          <a:ext cx="613575" cy="35311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AH</a:t>
          </a:r>
          <a:r>
            <a:rPr lang="da-DK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6</a:t>
          </a:r>
        </a:p>
        <a:p xmlns:a="http://schemas.openxmlformats.org/drawingml/2006/main"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a-DK" sz="1000" b="0" i="1" baseline="0">
              <a:effectLst/>
              <a:latin typeface="+mn-lt"/>
              <a:ea typeface="+mn-ea"/>
              <a:cs typeface="+mn-cs"/>
            </a:rPr>
            <a:t>OH-AFm</a:t>
          </a:r>
          <a:endParaRPr lang="de-CH" i="1">
            <a:effectLst/>
          </a:endParaRPr>
        </a:p>
        <a:p xmlns:a="http://schemas.openxmlformats.org/drawingml/2006/main">
          <a:pPr algn="l" rtl="0">
            <a:defRPr sz="1000"/>
          </a:pPr>
          <a:endParaRPr lang="da-DK" baseline="-25000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0.28908</cdr:x>
      <cdr:y>0.39831</cdr:y>
    </cdr:from>
    <cdr:to>
      <cdr:x>0.42201</cdr:x>
      <cdr:y>0.69628</cdr:y>
    </cdr:to>
    <cdr:sp macro="" textlink="">
      <cdr:nvSpPr>
        <cdr:cNvPr id="34" name="Freihandform 33"/>
        <cdr:cNvSpPr/>
      </cdr:nvSpPr>
      <cdr:spPr>
        <a:xfrm xmlns:a="http://schemas.openxmlformats.org/drawingml/2006/main">
          <a:off x="1374621" y="1338084"/>
          <a:ext cx="632131" cy="1000997"/>
        </a:xfrm>
        <a:custGeom xmlns:a="http://schemas.openxmlformats.org/drawingml/2006/main">
          <a:avLst/>
          <a:gdLst>
            <a:gd name="connsiteX0" fmla="*/ 603250 w 686594"/>
            <a:gd name="connsiteY0" fmla="*/ 0 h 869157"/>
            <a:gd name="connsiteX1" fmla="*/ 686594 w 686594"/>
            <a:gd name="connsiteY1" fmla="*/ 35719 h 869157"/>
            <a:gd name="connsiteX2" fmla="*/ 0 w 686594"/>
            <a:gd name="connsiteY2" fmla="*/ 869157 h 869157"/>
            <a:gd name="connsiteX3" fmla="*/ 603250 w 686594"/>
            <a:gd name="connsiteY3" fmla="*/ 0 h 869157"/>
            <a:gd name="connsiteX0" fmla="*/ 615157 w 686594"/>
            <a:gd name="connsiteY0" fmla="*/ 0 h 857251"/>
            <a:gd name="connsiteX1" fmla="*/ 686594 w 686594"/>
            <a:gd name="connsiteY1" fmla="*/ 23813 h 857251"/>
            <a:gd name="connsiteX2" fmla="*/ 0 w 686594"/>
            <a:gd name="connsiteY2" fmla="*/ 857251 h 857251"/>
            <a:gd name="connsiteX3" fmla="*/ 615157 w 686594"/>
            <a:gd name="connsiteY3" fmla="*/ 0 h 857251"/>
            <a:gd name="connsiteX0" fmla="*/ 491390 w 686594"/>
            <a:gd name="connsiteY0" fmla="*/ 0 h 930613"/>
            <a:gd name="connsiteX1" fmla="*/ 686594 w 686594"/>
            <a:gd name="connsiteY1" fmla="*/ 97175 h 930613"/>
            <a:gd name="connsiteX2" fmla="*/ 0 w 686594"/>
            <a:gd name="connsiteY2" fmla="*/ 930613 h 930613"/>
            <a:gd name="connsiteX3" fmla="*/ 491390 w 686594"/>
            <a:gd name="connsiteY3" fmla="*/ 0 h 930613"/>
            <a:gd name="connsiteX0" fmla="*/ 491390 w 491390"/>
            <a:gd name="connsiteY0" fmla="*/ 0 h 930613"/>
            <a:gd name="connsiteX1" fmla="*/ 379868 w 491390"/>
            <a:gd name="connsiteY1" fmla="*/ 10474 h 930613"/>
            <a:gd name="connsiteX2" fmla="*/ 0 w 491390"/>
            <a:gd name="connsiteY2" fmla="*/ 930613 h 930613"/>
            <a:gd name="connsiteX3" fmla="*/ 491390 w 491390"/>
            <a:gd name="connsiteY3" fmla="*/ 0 h 930613"/>
            <a:gd name="connsiteX0" fmla="*/ 464484 w 464484"/>
            <a:gd name="connsiteY0" fmla="*/ 0 h 1137360"/>
            <a:gd name="connsiteX1" fmla="*/ 379868 w 464484"/>
            <a:gd name="connsiteY1" fmla="*/ 217221 h 1137360"/>
            <a:gd name="connsiteX2" fmla="*/ 0 w 464484"/>
            <a:gd name="connsiteY2" fmla="*/ 1137360 h 1137360"/>
            <a:gd name="connsiteX3" fmla="*/ 464484 w 464484"/>
            <a:gd name="connsiteY3" fmla="*/ 0 h 1137360"/>
            <a:gd name="connsiteX0" fmla="*/ 84616 w 540311"/>
            <a:gd name="connsiteY0" fmla="*/ 0 h 810567"/>
            <a:gd name="connsiteX1" fmla="*/ 0 w 540311"/>
            <a:gd name="connsiteY1" fmla="*/ 217221 h 810567"/>
            <a:gd name="connsiteX2" fmla="*/ 540310 w 540311"/>
            <a:gd name="connsiteY2" fmla="*/ 810567 h 810567"/>
            <a:gd name="connsiteX3" fmla="*/ 84616 w 540311"/>
            <a:gd name="connsiteY3" fmla="*/ 0 h 810567"/>
            <a:gd name="connsiteX0" fmla="*/ 215011 w 540310"/>
            <a:gd name="connsiteY0" fmla="*/ 0 h 853822"/>
            <a:gd name="connsiteX1" fmla="*/ 0 w 540310"/>
            <a:gd name="connsiteY1" fmla="*/ 260476 h 853822"/>
            <a:gd name="connsiteX2" fmla="*/ 540310 w 540310"/>
            <a:gd name="connsiteY2" fmla="*/ 853822 h 853822"/>
            <a:gd name="connsiteX3" fmla="*/ 215011 w 540310"/>
            <a:gd name="connsiteY3" fmla="*/ 0 h 853822"/>
            <a:gd name="connsiteX0" fmla="*/ 109691 w 434990"/>
            <a:gd name="connsiteY0" fmla="*/ 0 h 853822"/>
            <a:gd name="connsiteX1" fmla="*/ 0 w 434990"/>
            <a:gd name="connsiteY1" fmla="*/ 427316 h 853822"/>
            <a:gd name="connsiteX2" fmla="*/ 434990 w 434990"/>
            <a:gd name="connsiteY2" fmla="*/ 853822 h 853822"/>
            <a:gd name="connsiteX3" fmla="*/ 109691 w 434990"/>
            <a:gd name="connsiteY3" fmla="*/ 0 h 853822"/>
            <a:gd name="connsiteX0" fmla="*/ 119721 w 445020"/>
            <a:gd name="connsiteY0" fmla="*/ 0 h 853822"/>
            <a:gd name="connsiteX1" fmla="*/ 0 w 445020"/>
            <a:gd name="connsiteY1" fmla="*/ 427316 h 853822"/>
            <a:gd name="connsiteX2" fmla="*/ 445020 w 445020"/>
            <a:gd name="connsiteY2" fmla="*/ 853822 h 853822"/>
            <a:gd name="connsiteX3" fmla="*/ 119721 w 445020"/>
            <a:gd name="connsiteY3" fmla="*/ 0 h 853822"/>
            <a:gd name="connsiteX0" fmla="*/ 109690 w 445020"/>
            <a:gd name="connsiteY0" fmla="*/ 0 h 897077"/>
            <a:gd name="connsiteX1" fmla="*/ 0 w 445020"/>
            <a:gd name="connsiteY1" fmla="*/ 470571 h 897077"/>
            <a:gd name="connsiteX2" fmla="*/ 445020 w 445020"/>
            <a:gd name="connsiteY2" fmla="*/ 897077 h 897077"/>
            <a:gd name="connsiteX3" fmla="*/ 109690 w 445020"/>
            <a:gd name="connsiteY3" fmla="*/ 0 h 897077"/>
            <a:gd name="connsiteX0" fmla="*/ 109690 w 495172"/>
            <a:gd name="connsiteY0" fmla="*/ 0 h 940332"/>
            <a:gd name="connsiteX1" fmla="*/ 0 w 495172"/>
            <a:gd name="connsiteY1" fmla="*/ 470571 h 940332"/>
            <a:gd name="connsiteX2" fmla="*/ 495172 w 495172"/>
            <a:gd name="connsiteY2" fmla="*/ 940332 h 940332"/>
            <a:gd name="connsiteX3" fmla="*/ 109690 w 495172"/>
            <a:gd name="connsiteY3" fmla="*/ 0 h 940332"/>
            <a:gd name="connsiteX0" fmla="*/ 75477 w 495172"/>
            <a:gd name="connsiteY0" fmla="*/ 0 h 940332"/>
            <a:gd name="connsiteX1" fmla="*/ 0 w 495172"/>
            <a:gd name="connsiteY1" fmla="*/ 470571 h 940332"/>
            <a:gd name="connsiteX2" fmla="*/ 495172 w 495172"/>
            <a:gd name="connsiteY2" fmla="*/ 940332 h 940332"/>
            <a:gd name="connsiteX3" fmla="*/ 75477 w 495172"/>
            <a:gd name="connsiteY3" fmla="*/ 0 h 940332"/>
            <a:gd name="connsiteX0" fmla="*/ 164434 w 584129"/>
            <a:gd name="connsiteY0" fmla="*/ 0 h 940332"/>
            <a:gd name="connsiteX1" fmla="*/ 0 w 584129"/>
            <a:gd name="connsiteY1" fmla="*/ 410928 h 940332"/>
            <a:gd name="connsiteX2" fmla="*/ 584129 w 584129"/>
            <a:gd name="connsiteY2" fmla="*/ 940332 h 940332"/>
            <a:gd name="connsiteX3" fmla="*/ 164434 w 584129"/>
            <a:gd name="connsiteY3" fmla="*/ 0 h 940332"/>
            <a:gd name="connsiteX0" fmla="*/ 178119 w 597814"/>
            <a:gd name="connsiteY0" fmla="*/ 0 h 940332"/>
            <a:gd name="connsiteX1" fmla="*/ 0 w 597814"/>
            <a:gd name="connsiteY1" fmla="*/ 419449 h 940332"/>
            <a:gd name="connsiteX2" fmla="*/ 597814 w 597814"/>
            <a:gd name="connsiteY2" fmla="*/ 940332 h 940332"/>
            <a:gd name="connsiteX3" fmla="*/ 178119 w 597814"/>
            <a:gd name="connsiteY3" fmla="*/ 0 h 940332"/>
            <a:gd name="connsiteX0" fmla="*/ 160754 w 597814"/>
            <a:gd name="connsiteY0" fmla="*/ 0 h 977174"/>
            <a:gd name="connsiteX1" fmla="*/ 0 w 597814"/>
            <a:gd name="connsiteY1" fmla="*/ 456291 h 977174"/>
            <a:gd name="connsiteX2" fmla="*/ 597814 w 597814"/>
            <a:gd name="connsiteY2" fmla="*/ 977174 h 977174"/>
            <a:gd name="connsiteX3" fmla="*/ 160754 w 597814"/>
            <a:gd name="connsiteY3" fmla="*/ 0 h 977174"/>
            <a:gd name="connsiteX0" fmla="*/ 160754 w 499408"/>
            <a:gd name="connsiteY0" fmla="*/ 0 h 1006647"/>
            <a:gd name="connsiteX1" fmla="*/ 0 w 499408"/>
            <a:gd name="connsiteY1" fmla="*/ 456291 h 1006647"/>
            <a:gd name="connsiteX2" fmla="*/ 499408 w 499408"/>
            <a:gd name="connsiteY2" fmla="*/ 1006647 h 1006647"/>
            <a:gd name="connsiteX3" fmla="*/ 160754 w 499408"/>
            <a:gd name="connsiteY3" fmla="*/ 0 h 1006647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499408" h="1006647">
              <a:moveTo>
                <a:pt x="160754" y="0"/>
              </a:moveTo>
              <a:lnTo>
                <a:pt x="0" y="456291"/>
              </a:lnTo>
              <a:lnTo>
                <a:pt x="499408" y="1006647"/>
              </a:lnTo>
              <a:lnTo>
                <a:pt x="160754" y="0"/>
              </a:lnTo>
              <a:close/>
            </a:path>
          </a:pathLst>
        </a:custGeom>
        <a:solidFill xmlns:a="http://schemas.openxmlformats.org/drawingml/2006/main">
          <a:schemeClr val="accent1">
            <a:alpha val="22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0.24324</cdr:x>
      <cdr:y>0.53174</cdr:y>
    </cdr:from>
    <cdr:to>
      <cdr:x>0.35569</cdr:x>
      <cdr:y>0.87974</cdr:y>
    </cdr:to>
    <cdr:sp macro="" textlink="">
      <cdr:nvSpPr>
        <cdr:cNvPr id="31" name="Freihandform 30"/>
        <cdr:cNvSpPr/>
      </cdr:nvSpPr>
      <cdr:spPr>
        <a:xfrm xmlns:a="http://schemas.openxmlformats.org/drawingml/2006/main">
          <a:off x="1156664" y="1786337"/>
          <a:ext cx="534727" cy="1169051"/>
        </a:xfrm>
        <a:custGeom xmlns:a="http://schemas.openxmlformats.org/drawingml/2006/main">
          <a:avLst/>
          <a:gdLst>
            <a:gd name="connsiteX0" fmla="*/ 603250 w 686594"/>
            <a:gd name="connsiteY0" fmla="*/ 0 h 869157"/>
            <a:gd name="connsiteX1" fmla="*/ 686594 w 686594"/>
            <a:gd name="connsiteY1" fmla="*/ 35719 h 869157"/>
            <a:gd name="connsiteX2" fmla="*/ 0 w 686594"/>
            <a:gd name="connsiteY2" fmla="*/ 869157 h 869157"/>
            <a:gd name="connsiteX3" fmla="*/ 603250 w 686594"/>
            <a:gd name="connsiteY3" fmla="*/ 0 h 869157"/>
            <a:gd name="connsiteX0" fmla="*/ 615157 w 686594"/>
            <a:gd name="connsiteY0" fmla="*/ 0 h 857251"/>
            <a:gd name="connsiteX1" fmla="*/ 686594 w 686594"/>
            <a:gd name="connsiteY1" fmla="*/ 23813 h 857251"/>
            <a:gd name="connsiteX2" fmla="*/ 0 w 686594"/>
            <a:gd name="connsiteY2" fmla="*/ 857251 h 857251"/>
            <a:gd name="connsiteX3" fmla="*/ 615157 w 686594"/>
            <a:gd name="connsiteY3" fmla="*/ 0 h 857251"/>
            <a:gd name="connsiteX0" fmla="*/ 0 w 2567752"/>
            <a:gd name="connsiteY0" fmla="*/ 369820 h 833438"/>
            <a:gd name="connsiteX1" fmla="*/ 2567752 w 2567752"/>
            <a:gd name="connsiteY1" fmla="*/ 0 h 833438"/>
            <a:gd name="connsiteX2" fmla="*/ 1881158 w 2567752"/>
            <a:gd name="connsiteY2" fmla="*/ 833438 h 833438"/>
            <a:gd name="connsiteX3" fmla="*/ 0 w 2567752"/>
            <a:gd name="connsiteY3" fmla="*/ 369820 h 833438"/>
            <a:gd name="connsiteX0" fmla="*/ 0 w 1881158"/>
            <a:gd name="connsiteY0" fmla="*/ 206937 h 670555"/>
            <a:gd name="connsiteX1" fmla="*/ 241485 w 1881158"/>
            <a:gd name="connsiteY1" fmla="*/ 0 h 670555"/>
            <a:gd name="connsiteX2" fmla="*/ 1881158 w 1881158"/>
            <a:gd name="connsiteY2" fmla="*/ 670555 h 670555"/>
            <a:gd name="connsiteX3" fmla="*/ 0 w 1881158"/>
            <a:gd name="connsiteY3" fmla="*/ 206937 h 670555"/>
            <a:gd name="connsiteX0" fmla="*/ 0 w 595590"/>
            <a:gd name="connsiteY0" fmla="*/ 206937 h 1186350"/>
            <a:gd name="connsiteX1" fmla="*/ 241485 w 595590"/>
            <a:gd name="connsiteY1" fmla="*/ 0 h 1186350"/>
            <a:gd name="connsiteX2" fmla="*/ 595590 w 595590"/>
            <a:gd name="connsiteY2" fmla="*/ 1186350 h 1186350"/>
            <a:gd name="connsiteX3" fmla="*/ 0 w 595590"/>
            <a:gd name="connsiteY3" fmla="*/ 206937 h 1186350"/>
            <a:gd name="connsiteX0" fmla="*/ 0 w 629600"/>
            <a:gd name="connsiteY0" fmla="*/ 206937 h 1186350"/>
            <a:gd name="connsiteX1" fmla="*/ 275495 w 629600"/>
            <a:gd name="connsiteY1" fmla="*/ 0 h 1186350"/>
            <a:gd name="connsiteX2" fmla="*/ 629600 w 629600"/>
            <a:gd name="connsiteY2" fmla="*/ 1186350 h 1186350"/>
            <a:gd name="connsiteX3" fmla="*/ 0 w 629600"/>
            <a:gd name="connsiteY3" fmla="*/ 206937 h 1186350"/>
            <a:gd name="connsiteX0" fmla="*/ 0 w 629600"/>
            <a:gd name="connsiteY0" fmla="*/ 227297 h 1206710"/>
            <a:gd name="connsiteX1" fmla="*/ 282298 w 629600"/>
            <a:gd name="connsiteY1" fmla="*/ 0 h 1206710"/>
            <a:gd name="connsiteX2" fmla="*/ 629600 w 629600"/>
            <a:gd name="connsiteY2" fmla="*/ 1206710 h 1206710"/>
            <a:gd name="connsiteX3" fmla="*/ 0 w 629600"/>
            <a:gd name="connsiteY3" fmla="*/ 227297 h 1206710"/>
            <a:gd name="connsiteX0" fmla="*/ 0 w 629600"/>
            <a:gd name="connsiteY0" fmla="*/ 51237 h 1030650"/>
            <a:gd name="connsiteX1" fmla="*/ 383728 w 629600"/>
            <a:gd name="connsiteY1" fmla="*/ 0 h 1030650"/>
            <a:gd name="connsiteX2" fmla="*/ 629600 w 629600"/>
            <a:gd name="connsiteY2" fmla="*/ 1030650 h 1030650"/>
            <a:gd name="connsiteX3" fmla="*/ 0 w 629600"/>
            <a:gd name="connsiteY3" fmla="*/ 51237 h 1030650"/>
            <a:gd name="connsiteX0" fmla="*/ 0 w 572545"/>
            <a:gd name="connsiteY0" fmla="*/ 70100 h 1030650"/>
            <a:gd name="connsiteX1" fmla="*/ 326673 w 572545"/>
            <a:gd name="connsiteY1" fmla="*/ 0 h 1030650"/>
            <a:gd name="connsiteX2" fmla="*/ 572545 w 572545"/>
            <a:gd name="connsiteY2" fmla="*/ 1030650 h 1030650"/>
            <a:gd name="connsiteX3" fmla="*/ 0 w 572545"/>
            <a:gd name="connsiteY3" fmla="*/ 70100 h 1030650"/>
            <a:gd name="connsiteX0" fmla="*/ 0 w 572545"/>
            <a:gd name="connsiteY0" fmla="*/ 130791 h 1091341"/>
            <a:gd name="connsiteX1" fmla="*/ 214228 w 572545"/>
            <a:gd name="connsiteY1" fmla="*/ 0 h 1091341"/>
            <a:gd name="connsiteX2" fmla="*/ 572545 w 572545"/>
            <a:gd name="connsiteY2" fmla="*/ 1091341 h 1091341"/>
            <a:gd name="connsiteX3" fmla="*/ 0 w 572545"/>
            <a:gd name="connsiteY3" fmla="*/ 130791 h 1091341"/>
            <a:gd name="connsiteX0" fmla="*/ 0 w 607143"/>
            <a:gd name="connsiteY0" fmla="*/ 139461 h 1091341"/>
            <a:gd name="connsiteX1" fmla="*/ 248826 w 607143"/>
            <a:gd name="connsiteY1" fmla="*/ 0 h 1091341"/>
            <a:gd name="connsiteX2" fmla="*/ 607143 w 607143"/>
            <a:gd name="connsiteY2" fmla="*/ 1091341 h 1091341"/>
            <a:gd name="connsiteX3" fmla="*/ 0 w 607143"/>
            <a:gd name="connsiteY3" fmla="*/ 139461 h 1091341"/>
            <a:gd name="connsiteX0" fmla="*/ 0 w 607143"/>
            <a:gd name="connsiteY0" fmla="*/ 161955 h 1113835"/>
            <a:gd name="connsiteX1" fmla="*/ 219561 w 607143"/>
            <a:gd name="connsiteY1" fmla="*/ 0 h 1113835"/>
            <a:gd name="connsiteX2" fmla="*/ 607143 w 607143"/>
            <a:gd name="connsiteY2" fmla="*/ 1113835 h 1113835"/>
            <a:gd name="connsiteX3" fmla="*/ 0 w 607143"/>
            <a:gd name="connsiteY3" fmla="*/ 161955 h 1113835"/>
            <a:gd name="connsiteX0" fmla="*/ 0 w 533977"/>
            <a:gd name="connsiteY0" fmla="*/ 161955 h 1196311"/>
            <a:gd name="connsiteX1" fmla="*/ 219561 w 533977"/>
            <a:gd name="connsiteY1" fmla="*/ 0 h 1196311"/>
            <a:gd name="connsiteX2" fmla="*/ 533977 w 533977"/>
            <a:gd name="connsiteY2" fmla="*/ 1196311 h 1196311"/>
            <a:gd name="connsiteX3" fmla="*/ 0 w 533977"/>
            <a:gd name="connsiteY3" fmla="*/ 161955 h 119631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533977" h="1196311">
              <a:moveTo>
                <a:pt x="0" y="161955"/>
              </a:moveTo>
              <a:lnTo>
                <a:pt x="219561" y="0"/>
              </a:lnTo>
              <a:lnTo>
                <a:pt x="533977" y="1196311"/>
              </a:lnTo>
              <a:lnTo>
                <a:pt x="0" y="161955"/>
              </a:lnTo>
              <a:close/>
            </a:path>
          </a:pathLst>
        </a:custGeom>
        <a:solidFill xmlns:a="http://schemas.openxmlformats.org/drawingml/2006/main">
          <a:schemeClr val="accent1">
            <a:alpha val="23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0.10492</cdr:x>
      <cdr:y>0.56012</cdr:y>
    </cdr:from>
    <cdr:to>
      <cdr:x>0.245</cdr:x>
      <cdr:y>0.87491</cdr:y>
    </cdr:to>
    <cdr:sp macro="" textlink="">
      <cdr:nvSpPr>
        <cdr:cNvPr id="2" name="Freihandform 1"/>
        <cdr:cNvSpPr/>
      </cdr:nvSpPr>
      <cdr:spPr>
        <a:xfrm xmlns:a="http://schemas.openxmlformats.org/drawingml/2006/main">
          <a:off x="498918" y="1881677"/>
          <a:ext cx="666117" cy="1057507"/>
        </a:xfrm>
        <a:custGeom xmlns:a="http://schemas.openxmlformats.org/drawingml/2006/main">
          <a:avLst/>
          <a:gdLst>
            <a:gd name="connsiteX0" fmla="*/ 603250 w 686594"/>
            <a:gd name="connsiteY0" fmla="*/ 0 h 869157"/>
            <a:gd name="connsiteX1" fmla="*/ 686594 w 686594"/>
            <a:gd name="connsiteY1" fmla="*/ 35719 h 869157"/>
            <a:gd name="connsiteX2" fmla="*/ 0 w 686594"/>
            <a:gd name="connsiteY2" fmla="*/ 869157 h 869157"/>
            <a:gd name="connsiteX3" fmla="*/ 603250 w 686594"/>
            <a:gd name="connsiteY3" fmla="*/ 0 h 869157"/>
            <a:gd name="connsiteX0" fmla="*/ 615157 w 686594"/>
            <a:gd name="connsiteY0" fmla="*/ 0 h 857251"/>
            <a:gd name="connsiteX1" fmla="*/ 686594 w 686594"/>
            <a:gd name="connsiteY1" fmla="*/ 23813 h 857251"/>
            <a:gd name="connsiteX2" fmla="*/ 0 w 686594"/>
            <a:gd name="connsiteY2" fmla="*/ 857251 h 857251"/>
            <a:gd name="connsiteX3" fmla="*/ 615157 w 686594"/>
            <a:gd name="connsiteY3" fmla="*/ 0 h 857251"/>
            <a:gd name="connsiteX0" fmla="*/ 615157 w 711950"/>
            <a:gd name="connsiteY0" fmla="*/ 0 h 857251"/>
            <a:gd name="connsiteX1" fmla="*/ 711950 w 711950"/>
            <a:gd name="connsiteY1" fmla="*/ 74117 h 857251"/>
            <a:gd name="connsiteX2" fmla="*/ 0 w 711950"/>
            <a:gd name="connsiteY2" fmla="*/ 857251 h 857251"/>
            <a:gd name="connsiteX3" fmla="*/ 615157 w 711950"/>
            <a:gd name="connsiteY3" fmla="*/ 0 h 857251"/>
            <a:gd name="connsiteX0" fmla="*/ 615157 w 730967"/>
            <a:gd name="connsiteY0" fmla="*/ 0 h 857251"/>
            <a:gd name="connsiteX1" fmla="*/ 730967 w 730967"/>
            <a:gd name="connsiteY1" fmla="*/ 42677 h 857251"/>
            <a:gd name="connsiteX2" fmla="*/ 0 w 730967"/>
            <a:gd name="connsiteY2" fmla="*/ 857251 h 857251"/>
            <a:gd name="connsiteX3" fmla="*/ 615157 w 730967"/>
            <a:gd name="connsiteY3" fmla="*/ 0 h 857251"/>
            <a:gd name="connsiteX0" fmla="*/ 585893 w 701703"/>
            <a:gd name="connsiteY0" fmla="*/ 0 h 1082189"/>
            <a:gd name="connsiteX1" fmla="*/ 701703 w 701703"/>
            <a:gd name="connsiteY1" fmla="*/ 42677 h 1082189"/>
            <a:gd name="connsiteX2" fmla="*/ 0 w 701703"/>
            <a:gd name="connsiteY2" fmla="*/ 1082189 h 1082189"/>
            <a:gd name="connsiteX3" fmla="*/ 585893 w 701703"/>
            <a:gd name="connsiteY3" fmla="*/ 0 h 1082189"/>
            <a:gd name="connsiteX0" fmla="*/ 585893 w 665124"/>
            <a:gd name="connsiteY0" fmla="*/ 0 h 1082189"/>
            <a:gd name="connsiteX1" fmla="*/ 665124 w 665124"/>
            <a:gd name="connsiteY1" fmla="*/ 72669 h 1082189"/>
            <a:gd name="connsiteX2" fmla="*/ 0 w 665124"/>
            <a:gd name="connsiteY2" fmla="*/ 1082189 h 1082189"/>
            <a:gd name="connsiteX3" fmla="*/ 585893 w 665124"/>
            <a:gd name="connsiteY3" fmla="*/ 0 h 108218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665124" h="1082189">
              <a:moveTo>
                <a:pt x="585893" y="0"/>
              </a:moveTo>
              <a:lnTo>
                <a:pt x="665124" y="72669"/>
              </a:lnTo>
              <a:lnTo>
                <a:pt x="0" y="1082189"/>
              </a:lnTo>
              <a:lnTo>
                <a:pt x="585893" y="0"/>
              </a:lnTo>
              <a:close/>
            </a:path>
          </a:pathLst>
        </a:custGeom>
        <a:solidFill xmlns:a="http://schemas.openxmlformats.org/drawingml/2006/main">
          <a:schemeClr val="accent1">
            <a:alpha val="23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0.07638</cdr:x>
      <cdr:y>0.32387</cdr:y>
    </cdr:from>
    <cdr:to>
      <cdr:x>0.07638</cdr:x>
      <cdr:y>0.32387</cdr:y>
    </cdr:to>
    <cdr:sp macro="" textlink="">
      <cdr:nvSpPr>
        <cdr:cNvPr id="4710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7481" y="1045858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0.1158</cdr:x>
      <cdr:y>0.38889</cdr:y>
    </cdr:from>
    <cdr:to>
      <cdr:x>0.1158</cdr:x>
      <cdr:y>0.38889</cdr:y>
    </cdr:to>
    <cdr:sp macro="" textlink="">
      <cdr:nvSpPr>
        <cdr:cNvPr id="4710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0354" y="1255179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0.8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y</a:t>
          </a:r>
          <a:endParaRPr lang="da-DK"/>
        </a:p>
      </cdr:txBody>
    </cdr:sp>
  </cdr:relSizeAnchor>
  <cdr:relSizeAnchor xmlns:cdr="http://schemas.openxmlformats.org/drawingml/2006/chartDrawing">
    <cdr:from>
      <cdr:x>0.06683</cdr:x>
      <cdr:y>0.54707</cdr:y>
    </cdr:from>
    <cdr:to>
      <cdr:x>0.06683</cdr:x>
      <cdr:y>0.54707</cdr:y>
    </cdr:to>
    <cdr:sp macro="" textlink="">
      <cdr:nvSpPr>
        <cdr:cNvPr id="47110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3183" y="176442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1.7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x</a:t>
          </a:r>
          <a:endParaRPr lang="da-DK"/>
        </a:p>
      </cdr:txBody>
    </cdr:sp>
  </cdr:relSizeAnchor>
  <cdr:relSizeAnchor xmlns:cdr="http://schemas.openxmlformats.org/drawingml/2006/chartDrawing">
    <cdr:from>
      <cdr:x>0.52914</cdr:x>
      <cdr:y>0.71398</cdr:y>
    </cdr:from>
    <cdr:to>
      <cdr:x>0.52914</cdr:x>
      <cdr:y>0.71398</cdr:y>
    </cdr:to>
    <cdr:sp macro="" textlink="">
      <cdr:nvSpPr>
        <cdr:cNvPr id="47111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57679" y="2301786"/>
          <a:ext cx="0" cy="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S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12</a:t>
          </a:r>
        </a:p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12</a:t>
          </a:r>
        </a:p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A.3C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S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32</a:t>
          </a:r>
          <a:endParaRPr lang="da-DK"/>
        </a:p>
      </cdr:txBody>
    </cdr:sp>
  </cdr:relSizeAnchor>
  <cdr:relSizeAnchor xmlns:cdr="http://schemas.openxmlformats.org/drawingml/2006/chartDrawing">
    <cdr:from>
      <cdr:x>0.01418</cdr:x>
      <cdr:y>0.74697</cdr:y>
    </cdr:from>
    <cdr:to>
      <cdr:x>0.01418</cdr:x>
      <cdr:y>0.74697</cdr:y>
    </cdr:to>
    <cdr:sp macro="" textlink="">
      <cdr:nvSpPr>
        <cdr:cNvPr id="4711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974" y="2408009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CH</a:t>
          </a:r>
          <a:endParaRPr lang="da-DK"/>
        </a:p>
      </cdr:txBody>
    </cdr:sp>
  </cdr:relSizeAnchor>
  <cdr:relSizeAnchor xmlns:cdr="http://schemas.openxmlformats.org/drawingml/2006/chartDrawing">
    <cdr:from>
      <cdr:x>0.26762</cdr:x>
      <cdr:y>0.88938</cdr:y>
    </cdr:from>
    <cdr:to>
      <cdr:x>0.26762</cdr:x>
      <cdr:y>0.88938</cdr:y>
    </cdr:to>
    <cdr:sp macro="" textlink="">
      <cdr:nvSpPr>
        <cdr:cNvPr id="47113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4585" y="286648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endParaRPr lang="da-DK"/>
        </a:p>
      </cdr:txBody>
    </cdr:sp>
  </cdr:relSizeAnchor>
  <cdr:relSizeAnchor xmlns:cdr="http://schemas.openxmlformats.org/drawingml/2006/chartDrawing">
    <cdr:from>
      <cdr:x>0.40793</cdr:x>
      <cdr:y>0.65672</cdr:y>
    </cdr:from>
    <cdr:to>
      <cdr:x>0.40793</cdr:x>
      <cdr:y>0.65672</cdr:y>
    </cdr:to>
    <cdr:sp macro="" textlink="">
      <cdr:nvSpPr>
        <cdr:cNvPr id="47116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5431" y="2117458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stratlingite</a:t>
          </a:r>
          <a:endParaRPr lang="da-DK"/>
        </a:p>
      </cdr:txBody>
    </cdr:sp>
  </cdr:relSizeAnchor>
  <cdr:relSizeAnchor xmlns:cdr="http://schemas.openxmlformats.org/drawingml/2006/chartDrawing">
    <cdr:from>
      <cdr:x>0.52914</cdr:x>
      <cdr:y>0.08199</cdr:y>
    </cdr:from>
    <cdr:to>
      <cdr:x>0.52914</cdr:x>
      <cdr:y>0.08199</cdr:y>
    </cdr:to>
    <cdr:sp macro="" textlink="">
      <cdr:nvSpPr>
        <cdr:cNvPr id="47117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57679" y="26715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silica gel</a:t>
          </a:r>
          <a:endParaRPr lang="da-DK"/>
        </a:p>
      </cdr:txBody>
    </cdr:sp>
  </cdr:relSizeAnchor>
  <cdr:relSizeAnchor xmlns:cdr="http://schemas.openxmlformats.org/drawingml/2006/chartDrawing">
    <cdr:from>
      <cdr:x>0.89056</cdr:x>
      <cdr:y>0.8297</cdr:y>
    </cdr:from>
    <cdr:to>
      <cdr:x>0.89056</cdr:x>
      <cdr:y>0.8297</cdr:y>
    </cdr:to>
    <cdr:sp macro="" textlink="">
      <cdr:nvSpPr>
        <cdr:cNvPr id="47118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34203" y="2674347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gibsite</a:t>
          </a:r>
          <a:endParaRPr lang="da-DK"/>
        </a:p>
      </cdr:txBody>
    </cdr:sp>
  </cdr:relSizeAnchor>
  <cdr:relSizeAnchor xmlns:cdr="http://schemas.openxmlformats.org/drawingml/2006/chartDrawing">
    <cdr:from>
      <cdr:x>0.34037</cdr:x>
      <cdr:y>0.91123</cdr:y>
    </cdr:from>
    <cdr:to>
      <cdr:x>0.70055</cdr:x>
      <cdr:y>1</cdr:y>
    </cdr:to>
    <cdr:sp macro="" textlink="">
      <cdr:nvSpPr>
        <cdr:cNvPr id="47121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7045" y="3121138"/>
          <a:ext cx="1711103" cy="3040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AFt + 3 AFm or AFt + 2 AFm phases in presence of calcite plot here </a:t>
          </a:r>
          <a:endParaRPr lang="da-DK" i="1"/>
        </a:p>
      </cdr:txBody>
    </cdr:sp>
  </cdr:relSizeAnchor>
  <cdr:relSizeAnchor xmlns:cdr="http://schemas.openxmlformats.org/drawingml/2006/chartDrawing">
    <cdr:from>
      <cdr:x>0.74663</cdr:x>
      <cdr:y>0.90465</cdr:y>
    </cdr:from>
    <cdr:to>
      <cdr:x>0.90139</cdr:x>
      <cdr:y>0.96409</cdr:y>
    </cdr:to>
    <cdr:sp macro="" textlink="">
      <cdr:nvSpPr>
        <cdr:cNvPr id="47122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50378" y="3039067"/>
          <a:ext cx="735911" cy="19968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gibbsite</a:t>
          </a:r>
          <a:endParaRPr lang="da-DK"/>
        </a:p>
      </cdr:txBody>
    </cdr:sp>
  </cdr:relSizeAnchor>
  <cdr:relSizeAnchor xmlns:cdr="http://schemas.openxmlformats.org/drawingml/2006/chartDrawing">
    <cdr:from>
      <cdr:x>0.78163</cdr:x>
      <cdr:y>0.84426</cdr:y>
    </cdr:from>
    <cdr:to>
      <cdr:x>0.85705</cdr:x>
      <cdr:y>0.91486</cdr:y>
    </cdr:to>
    <cdr:sp macro="" textlink="">
      <cdr:nvSpPr>
        <cdr:cNvPr id="47123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16782" y="2836219"/>
          <a:ext cx="358635" cy="23717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75" b="0" i="0" u="none" strike="noStrike" baseline="0">
              <a:solidFill>
                <a:srgbClr val="000000"/>
              </a:solidFill>
              <a:latin typeface="Arial"/>
              <a:cs typeface="Arial"/>
            </a:rPr>
            <a:t>Al</a:t>
          </a:r>
          <a:r>
            <a:rPr lang="da-DK" sz="1075" b="0" i="0" u="none" strike="noStrike" baseline="-2500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da-DK" sz="1075" b="0" i="0" u="none" strike="noStrike" baseline="0">
              <a:solidFill>
                <a:srgbClr val="000000"/>
              </a:solidFill>
              <a:latin typeface="Arial"/>
              <a:cs typeface="Arial"/>
            </a:rPr>
            <a:t>O</a:t>
          </a:r>
          <a:r>
            <a:rPr lang="da-DK" sz="1075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endParaRPr lang="da-DK" baseline="-25000"/>
        </a:p>
      </cdr:txBody>
    </cdr:sp>
  </cdr:relSizeAnchor>
  <cdr:relSizeAnchor xmlns:cdr="http://schemas.openxmlformats.org/drawingml/2006/chartDrawing">
    <cdr:from>
      <cdr:x>0.02382</cdr:x>
      <cdr:y>0.85172</cdr:y>
    </cdr:from>
    <cdr:to>
      <cdr:x>0.09826</cdr:x>
      <cdr:y>0.92232</cdr:y>
    </cdr:to>
    <cdr:sp macro="" textlink="">
      <cdr:nvSpPr>
        <cdr:cNvPr id="47124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3142" y="2940836"/>
          <a:ext cx="353634" cy="2437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75" b="0" i="0" u="none" strike="noStrike" baseline="0">
              <a:solidFill>
                <a:srgbClr val="000000"/>
              </a:solidFill>
              <a:latin typeface="Arial"/>
              <a:cs typeface="Arial"/>
            </a:rPr>
            <a:t>CaO</a:t>
          </a:r>
          <a:endParaRPr lang="da-DK"/>
        </a:p>
      </cdr:txBody>
    </cdr:sp>
  </cdr:relSizeAnchor>
  <cdr:relSizeAnchor xmlns:cdr="http://schemas.openxmlformats.org/drawingml/2006/chartDrawing">
    <cdr:from>
      <cdr:x>0.45898</cdr:x>
      <cdr:y>0.02355</cdr:y>
    </cdr:from>
    <cdr:to>
      <cdr:x>0.53244</cdr:x>
      <cdr:y>0.09657</cdr:y>
    </cdr:to>
    <cdr:sp macro="" textlink="">
      <cdr:nvSpPr>
        <cdr:cNvPr id="47125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182529" y="79113"/>
          <a:ext cx="349315" cy="2453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75" b="0" i="0" u="none" strike="noStrike" baseline="0">
              <a:solidFill>
                <a:srgbClr val="000000"/>
              </a:solidFill>
              <a:latin typeface="Arial"/>
              <a:cs typeface="Arial"/>
            </a:rPr>
            <a:t>SiO</a:t>
          </a:r>
          <a:r>
            <a:rPr lang="da-DK" sz="1075" b="0" i="0" u="none" strike="noStrike" baseline="-25000">
              <a:solidFill>
                <a:srgbClr val="000000"/>
              </a:solidFill>
              <a:latin typeface="Arial"/>
              <a:cs typeface="Arial"/>
            </a:rPr>
            <a:t>2</a:t>
          </a:r>
          <a:endParaRPr lang="da-DK" baseline="-25000"/>
        </a:p>
      </cdr:txBody>
    </cdr:sp>
  </cdr:relSizeAnchor>
  <cdr:relSizeAnchor xmlns:cdr="http://schemas.openxmlformats.org/drawingml/2006/chartDrawing">
    <cdr:from>
      <cdr:x>0.42929</cdr:x>
      <cdr:y>0.6621</cdr:y>
    </cdr:from>
    <cdr:to>
      <cdr:x>0.75371</cdr:x>
      <cdr:y>0.75904</cdr:y>
    </cdr:to>
    <cdr:sp macro="" textlink="">
      <cdr:nvSpPr>
        <cdr:cNvPr id="22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41361" y="2224246"/>
          <a:ext cx="1542673" cy="3256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strätlingite (C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ASH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8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)</a:t>
          </a:r>
          <a:endParaRPr lang="da-DK"/>
        </a:p>
      </cdr:txBody>
    </cdr:sp>
  </cdr:relSizeAnchor>
  <cdr:relSizeAnchor xmlns:cdr="http://schemas.openxmlformats.org/drawingml/2006/chartDrawing">
    <cdr:from>
      <cdr:x>0.4891</cdr:x>
      <cdr:y>0.27428</cdr:y>
    </cdr:from>
    <cdr:to>
      <cdr:x>0.74768</cdr:x>
      <cdr:y>0.33857</cdr:y>
    </cdr:to>
    <cdr:sp macro="" textlink="">
      <cdr:nvSpPr>
        <cdr:cNvPr id="23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325776" y="921415"/>
          <a:ext cx="1229592" cy="2159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stilbite </a:t>
          </a:r>
          <a:endParaRPr lang="da-DK"/>
        </a:p>
      </cdr:txBody>
    </cdr:sp>
  </cdr:relSizeAnchor>
  <cdr:relSizeAnchor xmlns:cdr="http://schemas.openxmlformats.org/drawingml/2006/chartDrawing">
    <cdr:from>
      <cdr:x>0.11401</cdr:x>
      <cdr:y>0.46535</cdr:y>
    </cdr:from>
    <cdr:to>
      <cdr:x>0.198</cdr:x>
      <cdr:y>0.51945</cdr:y>
    </cdr:to>
    <cdr:sp macro="" textlink="">
      <cdr:nvSpPr>
        <cdr:cNvPr id="24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2184" y="1583028"/>
          <a:ext cx="399431" cy="18403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1.75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SH</a:t>
          </a:r>
          <a:endParaRPr lang="da-DK"/>
        </a:p>
      </cdr:txBody>
    </cdr:sp>
  </cdr:relSizeAnchor>
  <cdr:relSizeAnchor xmlns:cdr="http://schemas.openxmlformats.org/drawingml/2006/chartDrawing">
    <cdr:from>
      <cdr:x>0.21321</cdr:x>
      <cdr:y>0.33544</cdr:y>
    </cdr:from>
    <cdr:to>
      <cdr:x>0.2972</cdr:x>
      <cdr:y>0.38954</cdr:y>
    </cdr:to>
    <cdr:sp macro="" textlink="">
      <cdr:nvSpPr>
        <cdr:cNvPr id="25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13863" y="1126861"/>
          <a:ext cx="399387" cy="1817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0.67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SH</a:t>
          </a:r>
          <a:endParaRPr lang="da-DK"/>
        </a:p>
      </cdr:txBody>
    </cdr:sp>
  </cdr:relSizeAnchor>
  <cdr:relSizeAnchor xmlns:cdr="http://schemas.openxmlformats.org/drawingml/2006/chartDrawing">
    <cdr:from>
      <cdr:x>0.28984</cdr:x>
      <cdr:y>0.50814</cdr:y>
    </cdr:from>
    <cdr:to>
      <cdr:x>0.47228</cdr:x>
      <cdr:y>0.5843</cdr:y>
    </cdr:to>
    <cdr:sp macro="" textlink="">
      <cdr:nvSpPr>
        <cdr:cNvPr id="28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376912" y="1709139"/>
          <a:ext cx="866699" cy="2561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1.3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0.1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SH</a:t>
          </a:r>
          <a:endParaRPr lang="da-DK"/>
        </a:p>
      </cdr:txBody>
    </cdr:sp>
  </cdr:relSizeAnchor>
  <cdr:relSizeAnchor xmlns:cdr="http://schemas.openxmlformats.org/drawingml/2006/chartDrawing">
    <cdr:from>
      <cdr:x>0.0727</cdr:x>
      <cdr:y>0.89416</cdr:y>
    </cdr:from>
    <cdr:to>
      <cdr:x>0.22746</cdr:x>
      <cdr:y>0.9536</cdr:y>
    </cdr:to>
    <cdr:sp macro="" textlink="">
      <cdr:nvSpPr>
        <cdr:cNvPr id="30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6550" y="2870200"/>
          <a:ext cx="716407" cy="1907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portlandite</a:t>
          </a:r>
          <a:endParaRPr lang="da-DK"/>
        </a:p>
      </cdr:txBody>
    </cdr:sp>
  </cdr:relSizeAnchor>
  <cdr:relSizeAnchor xmlns:cdr="http://schemas.openxmlformats.org/drawingml/2006/chartDrawing">
    <cdr:from>
      <cdr:x>0.3295</cdr:x>
      <cdr:y>0.38948</cdr:y>
    </cdr:from>
    <cdr:to>
      <cdr:x>0.51194</cdr:x>
      <cdr:y>0.48815</cdr:y>
    </cdr:to>
    <cdr:sp macro="" textlink="">
      <cdr:nvSpPr>
        <cdr:cNvPr id="26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66822" y="1308426"/>
          <a:ext cx="867534" cy="33147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0.7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0.05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SH</a:t>
          </a:r>
          <a:endParaRPr lang="da-DK"/>
        </a:p>
      </cdr:txBody>
    </cdr:sp>
  </cdr:relSizeAnchor>
  <cdr:relSizeAnchor xmlns:cdr="http://schemas.openxmlformats.org/drawingml/2006/chartDrawing">
    <cdr:from>
      <cdr:x>0.11611</cdr:x>
      <cdr:y>0.10616</cdr:y>
    </cdr:from>
    <cdr:to>
      <cdr:x>0.18957</cdr:x>
      <cdr:y>0.17918</cdr:y>
    </cdr:to>
    <cdr:sp macro="" textlink="">
      <cdr:nvSpPr>
        <cdr:cNvPr id="29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0863" y="372268"/>
          <a:ext cx="348530" cy="2560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1075" b="1" i="0" u="none" strike="noStrike" baseline="0">
              <a:solidFill>
                <a:srgbClr val="000000"/>
              </a:solidFill>
              <a:latin typeface="Arial"/>
              <a:cs typeface="Arial"/>
            </a:rPr>
            <a:t>wt%</a:t>
          </a:r>
          <a:endParaRPr lang="da-DK" b="1"/>
        </a:p>
      </cdr:txBody>
    </cdr:sp>
  </cdr:relSizeAnchor>
  <cdr:relSizeAnchor xmlns:cdr="http://schemas.openxmlformats.org/drawingml/2006/chartDrawing">
    <cdr:from>
      <cdr:x>0.30985</cdr:x>
      <cdr:y>0.05414</cdr:y>
    </cdr:from>
    <cdr:to>
      <cdr:x>0.4453</cdr:x>
      <cdr:y>0.40691</cdr:y>
    </cdr:to>
    <cdr:sp macro="" textlink="">
      <cdr:nvSpPr>
        <cdr:cNvPr id="33" name="Freihandform 32"/>
        <cdr:cNvSpPr/>
      </cdr:nvSpPr>
      <cdr:spPr>
        <a:xfrm xmlns:a="http://schemas.openxmlformats.org/drawingml/2006/main">
          <a:off x="1473386" y="181874"/>
          <a:ext cx="644081" cy="1185089"/>
        </a:xfrm>
        <a:custGeom xmlns:a="http://schemas.openxmlformats.org/drawingml/2006/main">
          <a:avLst/>
          <a:gdLst>
            <a:gd name="connsiteX0" fmla="*/ 603250 w 686594"/>
            <a:gd name="connsiteY0" fmla="*/ 0 h 869157"/>
            <a:gd name="connsiteX1" fmla="*/ 686594 w 686594"/>
            <a:gd name="connsiteY1" fmla="*/ 35719 h 869157"/>
            <a:gd name="connsiteX2" fmla="*/ 0 w 686594"/>
            <a:gd name="connsiteY2" fmla="*/ 869157 h 869157"/>
            <a:gd name="connsiteX3" fmla="*/ 603250 w 686594"/>
            <a:gd name="connsiteY3" fmla="*/ 0 h 869157"/>
            <a:gd name="connsiteX0" fmla="*/ 615157 w 686594"/>
            <a:gd name="connsiteY0" fmla="*/ 0 h 857251"/>
            <a:gd name="connsiteX1" fmla="*/ 686594 w 686594"/>
            <a:gd name="connsiteY1" fmla="*/ 23813 h 857251"/>
            <a:gd name="connsiteX2" fmla="*/ 0 w 686594"/>
            <a:gd name="connsiteY2" fmla="*/ 857251 h 857251"/>
            <a:gd name="connsiteX3" fmla="*/ 615157 w 686594"/>
            <a:gd name="connsiteY3" fmla="*/ 0 h 857251"/>
            <a:gd name="connsiteX0" fmla="*/ 615157 w 615157"/>
            <a:gd name="connsiteY0" fmla="*/ 0 h 890816"/>
            <a:gd name="connsiteX1" fmla="*/ 591367 w 615157"/>
            <a:gd name="connsiteY1" fmla="*/ 890816 h 890816"/>
            <a:gd name="connsiteX2" fmla="*/ 0 w 615157"/>
            <a:gd name="connsiteY2" fmla="*/ 857251 h 890816"/>
            <a:gd name="connsiteX3" fmla="*/ 615157 w 615157"/>
            <a:gd name="connsiteY3" fmla="*/ 0 h 890816"/>
            <a:gd name="connsiteX0" fmla="*/ 1200124 w 1200124"/>
            <a:gd name="connsiteY0" fmla="*/ 0 h 997524"/>
            <a:gd name="connsiteX1" fmla="*/ 591367 w 1200124"/>
            <a:gd name="connsiteY1" fmla="*/ 997524 h 997524"/>
            <a:gd name="connsiteX2" fmla="*/ 0 w 1200124"/>
            <a:gd name="connsiteY2" fmla="*/ 963959 h 997524"/>
            <a:gd name="connsiteX3" fmla="*/ 1200124 w 1200124"/>
            <a:gd name="connsiteY3" fmla="*/ 0 h 997524"/>
            <a:gd name="connsiteX0" fmla="*/ 649166 w 649166"/>
            <a:gd name="connsiteY0" fmla="*/ 0 h 997524"/>
            <a:gd name="connsiteX1" fmla="*/ 40409 w 649166"/>
            <a:gd name="connsiteY1" fmla="*/ 997524 h 997524"/>
            <a:gd name="connsiteX2" fmla="*/ 0 w 649166"/>
            <a:gd name="connsiteY2" fmla="*/ 870589 h 997524"/>
            <a:gd name="connsiteX3" fmla="*/ 649166 w 649166"/>
            <a:gd name="connsiteY3" fmla="*/ 0 h 997524"/>
            <a:gd name="connsiteX0" fmla="*/ 683176 w 683176"/>
            <a:gd name="connsiteY0" fmla="*/ 0 h 1064217"/>
            <a:gd name="connsiteX1" fmla="*/ 40409 w 683176"/>
            <a:gd name="connsiteY1" fmla="*/ 1064217 h 1064217"/>
            <a:gd name="connsiteX2" fmla="*/ 0 w 683176"/>
            <a:gd name="connsiteY2" fmla="*/ 937282 h 1064217"/>
            <a:gd name="connsiteX3" fmla="*/ 683176 w 683176"/>
            <a:gd name="connsiteY3" fmla="*/ 0 h 1064217"/>
            <a:gd name="connsiteX0" fmla="*/ 683176 w 683176"/>
            <a:gd name="connsiteY0" fmla="*/ 0 h 1002428"/>
            <a:gd name="connsiteX1" fmla="*/ 205238 w 683176"/>
            <a:gd name="connsiteY1" fmla="*/ 1002428 h 1002428"/>
            <a:gd name="connsiteX2" fmla="*/ 0 w 683176"/>
            <a:gd name="connsiteY2" fmla="*/ 937282 h 1002428"/>
            <a:gd name="connsiteX3" fmla="*/ 683176 w 683176"/>
            <a:gd name="connsiteY3" fmla="*/ 0 h 1002428"/>
            <a:gd name="connsiteX0" fmla="*/ 657818 w 657818"/>
            <a:gd name="connsiteY0" fmla="*/ 0 h 1002428"/>
            <a:gd name="connsiteX1" fmla="*/ 179880 w 657818"/>
            <a:gd name="connsiteY1" fmla="*/ 1002428 h 1002428"/>
            <a:gd name="connsiteX2" fmla="*/ 0 w 657818"/>
            <a:gd name="connsiteY2" fmla="*/ 912567 h 1002428"/>
            <a:gd name="connsiteX3" fmla="*/ 657818 w 657818"/>
            <a:gd name="connsiteY3" fmla="*/ 0 h 1002428"/>
            <a:gd name="connsiteX0" fmla="*/ 657818 w 657818"/>
            <a:gd name="connsiteY0" fmla="*/ 0 h 985387"/>
            <a:gd name="connsiteX1" fmla="*/ 127984 w 657818"/>
            <a:gd name="connsiteY1" fmla="*/ 985387 h 985387"/>
            <a:gd name="connsiteX2" fmla="*/ 0 w 657818"/>
            <a:gd name="connsiteY2" fmla="*/ 912567 h 985387"/>
            <a:gd name="connsiteX3" fmla="*/ 657818 w 657818"/>
            <a:gd name="connsiteY3" fmla="*/ 0 h 985387"/>
            <a:gd name="connsiteX0" fmla="*/ 657818 w 657818"/>
            <a:gd name="connsiteY0" fmla="*/ 0 h 1191681"/>
            <a:gd name="connsiteX1" fmla="*/ 120667 w 657818"/>
            <a:gd name="connsiteY1" fmla="*/ 1191681 h 1191681"/>
            <a:gd name="connsiteX2" fmla="*/ 0 w 657818"/>
            <a:gd name="connsiteY2" fmla="*/ 912567 h 1191681"/>
            <a:gd name="connsiteX3" fmla="*/ 657818 w 657818"/>
            <a:gd name="connsiteY3" fmla="*/ 0 h 1191681"/>
            <a:gd name="connsiteX0" fmla="*/ 643185 w 643185"/>
            <a:gd name="connsiteY0" fmla="*/ 0 h 1191681"/>
            <a:gd name="connsiteX1" fmla="*/ 106034 w 643185"/>
            <a:gd name="connsiteY1" fmla="*/ 1191681 h 1191681"/>
            <a:gd name="connsiteX2" fmla="*/ 0 w 643185"/>
            <a:gd name="connsiteY2" fmla="*/ 1067288 h 1191681"/>
            <a:gd name="connsiteX3" fmla="*/ 643185 w 643185"/>
            <a:gd name="connsiteY3" fmla="*/ 0 h 119168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643185" h="1191681">
              <a:moveTo>
                <a:pt x="643185" y="0"/>
              </a:moveTo>
              <a:lnTo>
                <a:pt x="106034" y="1191681"/>
              </a:lnTo>
              <a:lnTo>
                <a:pt x="0" y="1067288"/>
              </a:lnTo>
              <a:lnTo>
                <a:pt x="643185" y="0"/>
              </a:lnTo>
              <a:close/>
            </a:path>
          </a:pathLst>
        </a:custGeom>
        <a:solidFill xmlns:a="http://schemas.openxmlformats.org/drawingml/2006/main">
          <a:schemeClr val="accent1">
            <a:alpha val="23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0.06976</cdr:x>
      <cdr:y>0.51872</cdr:y>
    </cdr:from>
    <cdr:to>
      <cdr:x>0.21822</cdr:x>
      <cdr:y>0.57766</cdr:y>
    </cdr:to>
    <cdr:sp macro="" textlink="">
      <cdr:nvSpPr>
        <cdr:cNvPr id="27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1402" y="1744733"/>
          <a:ext cx="705273" cy="1982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1.75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0.05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SH</a:t>
          </a:r>
          <a:endParaRPr lang="da-DK"/>
        </a:p>
      </cdr:txBody>
    </cdr:sp>
  </cdr:relSizeAnchor>
  <cdr:relSizeAnchor xmlns:cdr="http://schemas.openxmlformats.org/drawingml/2006/chartDrawing">
    <cdr:from>
      <cdr:x>0.65595</cdr:x>
      <cdr:y>0.0277</cdr:y>
    </cdr:from>
    <cdr:to>
      <cdr:x>0.84642</cdr:x>
      <cdr:y>0.08125</cdr:y>
    </cdr:to>
    <cdr:sp macro="" textlink="">
      <cdr:nvSpPr>
        <cdr:cNvPr id="35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19967" y="93133"/>
          <a:ext cx="905951" cy="1800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Excess phases:</a:t>
          </a:r>
        </a:p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pore solution </a:t>
          </a:r>
        </a:p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FH</a:t>
          </a:r>
        </a:p>
        <a:p xmlns:a="http://schemas.openxmlformats.org/drawingml/2006/main">
          <a:pPr algn="l" rtl="0">
            <a:defRPr sz="1000"/>
          </a:pPr>
          <a:r>
            <a:rPr lang="da-DK" sz="800" i="1">
              <a:latin typeface="Arial" panose="020B0604020202020204" pitchFamily="34" charset="0"/>
              <a:cs typeface="Arial" panose="020B0604020202020204" pitchFamily="34" charset="0"/>
            </a:rPr>
            <a:t>M</a:t>
          </a:r>
          <a:r>
            <a:rPr lang="da-DK" sz="800" i="1" baseline="-25000">
              <a:latin typeface="Arial" panose="020B0604020202020204" pitchFamily="34" charset="0"/>
              <a:cs typeface="Arial" panose="020B0604020202020204" pitchFamily="34" charset="0"/>
            </a:rPr>
            <a:t>4</a:t>
          </a:r>
          <a:r>
            <a:rPr lang="da-DK" sz="800" i="1">
              <a:latin typeface="Arial" panose="020B0604020202020204" pitchFamily="34" charset="0"/>
              <a:cs typeface="Arial" panose="020B0604020202020204" pitchFamily="34" charset="0"/>
            </a:rPr>
            <a:t>AH</a:t>
          </a:r>
          <a:r>
            <a:rPr lang="da-DK" sz="800" i="1" baseline="-25000">
              <a:latin typeface="Arial" panose="020B0604020202020204" pitchFamily="34" charset="0"/>
              <a:cs typeface="Arial" panose="020B0604020202020204" pitchFamily="34" charset="0"/>
            </a:rPr>
            <a:t>10</a:t>
          </a:r>
        </a:p>
        <a:p xmlns:a="http://schemas.openxmlformats.org/drawingml/2006/main">
          <a:pPr algn="l" rtl="0">
            <a:defRPr sz="1000"/>
          </a:pPr>
          <a:r>
            <a:rPr lang="da-DK" sz="800" i="1">
              <a:latin typeface="Arial" panose="020B0604020202020204" pitchFamily="34" charset="0"/>
              <a:cs typeface="Arial" panose="020B0604020202020204" pitchFamily="34" charset="0"/>
            </a:rPr>
            <a:t>(calcite)</a:t>
          </a:r>
        </a:p>
      </cdr:txBody>
    </cdr:sp>
  </cdr:relSizeAnchor>
  <cdr:relSizeAnchor xmlns:cdr="http://schemas.openxmlformats.org/drawingml/2006/chartDrawing">
    <cdr:from>
      <cdr:x>0.19313</cdr:x>
      <cdr:y>0.55212</cdr:y>
    </cdr:from>
    <cdr:to>
      <cdr:x>0.245</cdr:x>
      <cdr:y>0.58126</cdr:y>
    </cdr:to>
    <cdr:cxnSp macro="">
      <cdr:nvCxnSpPr>
        <cdr:cNvPr id="38" name="Gerade Verbindung 37"/>
        <cdr:cNvCxnSpPr>
          <a:endCxn xmlns:a="http://schemas.openxmlformats.org/drawingml/2006/main" id="2" idx="1"/>
        </cdr:cNvCxnSpPr>
      </cdr:nvCxnSpPr>
      <cdr:spPr>
        <a:xfrm xmlns:a="http://schemas.openxmlformats.org/drawingml/2006/main">
          <a:off x="918482" y="1878179"/>
          <a:ext cx="246664" cy="99137"/>
        </a:xfrm>
        <a:prstGeom xmlns:a="http://schemas.openxmlformats.org/drawingml/2006/main" prst="line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0.19886</cdr:x>
      <cdr:y>0.49412</cdr:y>
    </cdr:from>
    <cdr:to>
      <cdr:x>0.22807</cdr:x>
      <cdr:y>0.55562</cdr:y>
    </cdr:to>
    <cdr:cxnSp macro="">
      <cdr:nvCxnSpPr>
        <cdr:cNvPr id="41" name="Gerade Verbindung 40"/>
        <cdr:cNvCxnSpPr/>
      </cdr:nvCxnSpPr>
      <cdr:spPr>
        <a:xfrm xmlns:a="http://schemas.openxmlformats.org/drawingml/2006/main">
          <a:off x="945696" y="1680876"/>
          <a:ext cx="138937" cy="209212"/>
        </a:xfrm>
        <a:prstGeom xmlns:a="http://schemas.openxmlformats.org/drawingml/2006/main" prst="line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0.22915</cdr:x>
      <cdr:y>0.36729</cdr:y>
    </cdr:from>
    <cdr:to>
      <cdr:x>0.33213</cdr:x>
      <cdr:y>0.58016</cdr:y>
    </cdr:to>
    <cdr:sp macro="" textlink="">
      <cdr:nvSpPr>
        <cdr:cNvPr id="39" name="Freihandform 38"/>
        <cdr:cNvSpPr/>
      </cdr:nvSpPr>
      <cdr:spPr>
        <a:xfrm xmlns:a="http://schemas.openxmlformats.org/drawingml/2006/main">
          <a:off x="1088582" y="1235386"/>
          <a:ext cx="489233" cy="715991"/>
        </a:xfrm>
        <a:custGeom xmlns:a="http://schemas.openxmlformats.org/drawingml/2006/main">
          <a:avLst/>
          <a:gdLst>
            <a:gd name="connsiteX0" fmla="*/ 0 w 482600"/>
            <a:gd name="connsiteY0" fmla="*/ 603250 h 641350"/>
            <a:gd name="connsiteX1" fmla="*/ 76200 w 482600"/>
            <a:gd name="connsiteY1" fmla="*/ 641350 h 641350"/>
            <a:gd name="connsiteX2" fmla="*/ 393700 w 482600"/>
            <a:gd name="connsiteY2" fmla="*/ 374650 h 641350"/>
            <a:gd name="connsiteX3" fmla="*/ 482600 w 482600"/>
            <a:gd name="connsiteY3" fmla="*/ 152400 h 641350"/>
            <a:gd name="connsiteX4" fmla="*/ 438150 w 482600"/>
            <a:gd name="connsiteY4" fmla="*/ 0 h 641350"/>
            <a:gd name="connsiteX5" fmla="*/ 0 w 482600"/>
            <a:gd name="connsiteY5" fmla="*/ 603250 h 641350"/>
            <a:gd name="connsiteX0" fmla="*/ 0 w 510021"/>
            <a:gd name="connsiteY0" fmla="*/ 611712 h 641350"/>
            <a:gd name="connsiteX1" fmla="*/ 103621 w 510021"/>
            <a:gd name="connsiteY1" fmla="*/ 641350 h 641350"/>
            <a:gd name="connsiteX2" fmla="*/ 421121 w 510021"/>
            <a:gd name="connsiteY2" fmla="*/ 374650 h 641350"/>
            <a:gd name="connsiteX3" fmla="*/ 510021 w 510021"/>
            <a:gd name="connsiteY3" fmla="*/ 152400 h 641350"/>
            <a:gd name="connsiteX4" fmla="*/ 465571 w 510021"/>
            <a:gd name="connsiteY4" fmla="*/ 0 h 641350"/>
            <a:gd name="connsiteX5" fmla="*/ 0 w 510021"/>
            <a:gd name="connsiteY5" fmla="*/ 611712 h 641350"/>
            <a:gd name="connsiteX0" fmla="*/ 0 w 510021"/>
            <a:gd name="connsiteY0" fmla="*/ 620174 h 649812"/>
            <a:gd name="connsiteX1" fmla="*/ 103621 w 510021"/>
            <a:gd name="connsiteY1" fmla="*/ 649812 h 649812"/>
            <a:gd name="connsiteX2" fmla="*/ 421121 w 510021"/>
            <a:gd name="connsiteY2" fmla="*/ 383112 h 649812"/>
            <a:gd name="connsiteX3" fmla="*/ 510021 w 510021"/>
            <a:gd name="connsiteY3" fmla="*/ 160862 h 649812"/>
            <a:gd name="connsiteX4" fmla="*/ 483852 w 510021"/>
            <a:gd name="connsiteY4" fmla="*/ 0 h 649812"/>
            <a:gd name="connsiteX5" fmla="*/ 0 w 510021"/>
            <a:gd name="connsiteY5" fmla="*/ 620174 h 649812"/>
            <a:gd name="connsiteX0" fmla="*/ 0 w 523732"/>
            <a:gd name="connsiteY0" fmla="*/ 620174 h 649812"/>
            <a:gd name="connsiteX1" fmla="*/ 103621 w 523732"/>
            <a:gd name="connsiteY1" fmla="*/ 649812 h 649812"/>
            <a:gd name="connsiteX2" fmla="*/ 421121 w 523732"/>
            <a:gd name="connsiteY2" fmla="*/ 383112 h 649812"/>
            <a:gd name="connsiteX3" fmla="*/ 523732 w 523732"/>
            <a:gd name="connsiteY3" fmla="*/ 122787 h 649812"/>
            <a:gd name="connsiteX4" fmla="*/ 483852 w 523732"/>
            <a:gd name="connsiteY4" fmla="*/ 0 h 649812"/>
            <a:gd name="connsiteX5" fmla="*/ 0 w 523732"/>
            <a:gd name="connsiteY5" fmla="*/ 620174 h 649812"/>
            <a:gd name="connsiteX0" fmla="*/ 0 w 523732"/>
            <a:gd name="connsiteY0" fmla="*/ 620174 h 649812"/>
            <a:gd name="connsiteX1" fmla="*/ 103621 w 523732"/>
            <a:gd name="connsiteY1" fmla="*/ 649812 h 649812"/>
            <a:gd name="connsiteX2" fmla="*/ 416551 w 523732"/>
            <a:gd name="connsiteY2" fmla="*/ 378882 h 649812"/>
            <a:gd name="connsiteX3" fmla="*/ 523732 w 523732"/>
            <a:gd name="connsiteY3" fmla="*/ 122787 h 649812"/>
            <a:gd name="connsiteX4" fmla="*/ 483852 w 523732"/>
            <a:gd name="connsiteY4" fmla="*/ 0 h 649812"/>
            <a:gd name="connsiteX5" fmla="*/ 0 w 523732"/>
            <a:gd name="connsiteY5" fmla="*/ 620174 h 649812"/>
            <a:gd name="connsiteX0" fmla="*/ 0 w 523732"/>
            <a:gd name="connsiteY0" fmla="*/ 620174 h 641350"/>
            <a:gd name="connsiteX1" fmla="*/ 89910 w 523732"/>
            <a:gd name="connsiteY1" fmla="*/ 641350 h 641350"/>
            <a:gd name="connsiteX2" fmla="*/ 416551 w 523732"/>
            <a:gd name="connsiteY2" fmla="*/ 378882 h 641350"/>
            <a:gd name="connsiteX3" fmla="*/ 523732 w 523732"/>
            <a:gd name="connsiteY3" fmla="*/ 122787 h 641350"/>
            <a:gd name="connsiteX4" fmla="*/ 483852 w 523732"/>
            <a:gd name="connsiteY4" fmla="*/ 0 h 641350"/>
            <a:gd name="connsiteX5" fmla="*/ 0 w 523732"/>
            <a:gd name="connsiteY5" fmla="*/ 620174 h 641350"/>
            <a:gd name="connsiteX0" fmla="*/ 0 w 523732"/>
            <a:gd name="connsiteY0" fmla="*/ 620174 h 641350"/>
            <a:gd name="connsiteX1" fmla="*/ 89910 w 523732"/>
            <a:gd name="connsiteY1" fmla="*/ 641350 h 641350"/>
            <a:gd name="connsiteX2" fmla="*/ 402841 w 523732"/>
            <a:gd name="connsiteY2" fmla="*/ 378882 h 641350"/>
            <a:gd name="connsiteX3" fmla="*/ 523732 w 523732"/>
            <a:gd name="connsiteY3" fmla="*/ 122787 h 641350"/>
            <a:gd name="connsiteX4" fmla="*/ 483852 w 523732"/>
            <a:gd name="connsiteY4" fmla="*/ 0 h 641350"/>
            <a:gd name="connsiteX5" fmla="*/ 0 w 523732"/>
            <a:gd name="connsiteY5" fmla="*/ 620174 h 641350"/>
            <a:gd name="connsiteX0" fmla="*/ 0 w 523732"/>
            <a:gd name="connsiteY0" fmla="*/ 620174 h 637119"/>
            <a:gd name="connsiteX1" fmla="*/ 80770 w 523732"/>
            <a:gd name="connsiteY1" fmla="*/ 637119 h 637119"/>
            <a:gd name="connsiteX2" fmla="*/ 402841 w 523732"/>
            <a:gd name="connsiteY2" fmla="*/ 378882 h 637119"/>
            <a:gd name="connsiteX3" fmla="*/ 523732 w 523732"/>
            <a:gd name="connsiteY3" fmla="*/ 122787 h 637119"/>
            <a:gd name="connsiteX4" fmla="*/ 483852 w 523732"/>
            <a:gd name="connsiteY4" fmla="*/ 0 h 637119"/>
            <a:gd name="connsiteX5" fmla="*/ 0 w 523732"/>
            <a:gd name="connsiteY5" fmla="*/ 620174 h 637119"/>
            <a:gd name="connsiteX0" fmla="*/ 0 w 523732"/>
            <a:gd name="connsiteY0" fmla="*/ 624405 h 641350"/>
            <a:gd name="connsiteX1" fmla="*/ 80770 w 523732"/>
            <a:gd name="connsiteY1" fmla="*/ 641350 h 641350"/>
            <a:gd name="connsiteX2" fmla="*/ 402841 w 523732"/>
            <a:gd name="connsiteY2" fmla="*/ 383113 h 641350"/>
            <a:gd name="connsiteX3" fmla="*/ 523732 w 523732"/>
            <a:gd name="connsiteY3" fmla="*/ 127018 h 641350"/>
            <a:gd name="connsiteX4" fmla="*/ 465571 w 523732"/>
            <a:gd name="connsiteY4" fmla="*/ 0 h 641350"/>
            <a:gd name="connsiteX5" fmla="*/ 0 w 523732"/>
            <a:gd name="connsiteY5" fmla="*/ 624405 h 641350"/>
            <a:gd name="connsiteX0" fmla="*/ 0 w 523732"/>
            <a:gd name="connsiteY0" fmla="*/ 628636 h 645581"/>
            <a:gd name="connsiteX1" fmla="*/ 80770 w 523732"/>
            <a:gd name="connsiteY1" fmla="*/ 645581 h 645581"/>
            <a:gd name="connsiteX2" fmla="*/ 402841 w 523732"/>
            <a:gd name="connsiteY2" fmla="*/ 387344 h 645581"/>
            <a:gd name="connsiteX3" fmla="*/ 523732 w 523732"/>
            <a:gd name="connsiteY3" fmla="*/ 131249 h 645581"/>
            <a:gd name="connsiteX4" fmla="*/ 474712 w 523732"/>
            <a:gd name="connsiteY4" fmla="*/ 0 h 645581"/>
            <a:gd name="connsiteX5" fmla="*/ 0 w 523732"/>
            <a:gd name="connsiteY5" fmla="*/ 628636 h 645581"/>
            <a:gd name="connsiteX0" fmla="*/ 0 w 506880"/>
            <a:gd name="connsiteY0" fmla="*/ 597045 h 645581"/>
            <a:gd name="connsiteX1" fmla="*/ 63918 w 506880"/>
            <a:gd name="connsiteY1" fmla="*/ 645581 h 645581"/>
            <a:gd name="connsiteX2" fmla="*/ 385989 w 506880"/>
            <a:gd name="connsiteY2" fmla="*/ 387344 h 645581"/>
            <a:gd name="connsiteX3" fmla="*/ 506880 w 506880"/>
            <a:gd name="connsiteY3" fmla="*/ 131249 h 645581"/>
            <a:gd name="connsiteX4" fmla="*/ 457860 w 506880"/>
            <a:gd name="connsiteY4" fmla="*/ 0 h 645581"/>
            <a:gd name="connsiteX5" fmla="*/ 0 w 506880"/>
            <a:gd name="connsiteY5" fmla="*/ 597045 h 645581"/>
            <a:gd name="connsiteX0" fmla="*/ 0 w 532644"/>
            <a:gd name="connsiteY0" fmla="*/ 615034 h 645581"/>
            <a:gd name="connsiteX1" fmla="*/ 89682 w 532644"/>
            <a:gd name="connsiteY1" fmla="*/ 645581 h 645581"/>
            <a:gd name="connsiteX2" fmla="*/ 411753 w 532644"/>
            <a:gd name="connsiteY2" fmla="*/ 387344 h 645581"/>
            <a:gd name="connsiteX3" fmla="*/ 532644 w 532644"/>
            <a:gd name="connsiteY3" fmla="*/ 131249 h 645581"/>
            <a:gd name="connsiteX4" fmla="*/ 483624 w 532644"/>
            <a:gd name="connsiteY4" fmla="*/ 0 h 645581"/>
            <a:gd name="connsiteX5" fmla="*/ 0 w 532644"/>
            <a:gd name="connsiteY5" fmla="*/ 615034 h 645581"/>
            <a:gd name="connsiteX0" fmla="*/ 0 w 541953"/>
            <a:gd name="connsiteY0" fmla="*/ 695489 h 726036"/>
            <a:gd name="connsiteX1" fmla="*/ 89682 w 541953"/>
            <a:gd name="connsiteY1" fmla="*/ 726036 h 726036"/>
            <a:gd name="connsiteX2" fmla="*/ 411753 w 541953"/>
            <a:gd name="connsiteY2" fmla="*/ 467799 h 726036"/>
            <a:gd name="connsiteX3" fmla="*/ 532644 w 541953"/>
            <a:gd name="connsiteY3" fmla="*/ 211704 h 726036"/>
            <a:gd name="connsiteX4" fmla="*/ 541953 w 541953"/>
            <a:gd name="connsiteY4" fmla="*/ 0 h 726036"/>
            <a:gd name="connsiteX5" fmla="*/ 0 w 541953"/>
            <a:gd name="connsiteY5" fmla="*/ 695489 h 726036"/>
            <a:gd name="connsiteX0" fmla="*/ 0 w 736796"/>
            <a:gd name="connsiteY0" fmla="*/ 695489 h 726036"/>
            <a:gd name="connsiteX1" fmla="*/ 89682 w 736796"/>
            <a:gd name="connsiteY1" fmla="*/ 726036 h 726036"/>
            <a:gd name="connsiteX2" fmla="*/ 411753 w 736796"/>
            <a:gd name="connsiteY2" fmla="*/ 467799 h 726036"/>
            <a:gd name="connsiteX3" fmla="*/ 736796 w 736796"/>
            <a:gd name="connsiteY3" fmla="*/ 151362 h 726036"/>
            <a:gd name="connsiteX4" fmla="*/ 541953 w 736796"/>
            <a:gd name="connsiteY4" fmla="*/ 0 h 726036"/>
            <a:gd name="connsiteX5" fmla="*/ 0 w 736796"/>
            <a:gd name="connsiteY5" fmla="*/ 695489 h 726036"/>
            <a:gd name="connsiteX0" fmla="*/ 0 w 736796"/>
            <a:gd name="connsiteY0" fmla="*/ 695489 h 726036"/>
            <a:gd name="connsiteX1" fmla="*/ 89682 w 736796"/>
            <a:gd name="connsiteY1" fmla="*/ 726036 h 726036"/>
            <a:gd name="connsiteX2" fmla="*/ 557575 w 736796"/>
            <a:gd name="connsiteY2" fmla="*/ 615300 h 726036"/>
            <a:gd name="connsiteX3" fmla="*/ 736796 w 736796"/>
            <a:gd name="connsiteY3" fmla="*/ 151362 h 726036"/>
            <a:gd name="connsiteX4" fmla="*/ 541953 w 736796"/>
            <a:gd name="connsiteY4" fmla="*/ 0 h 726036"/>
            <a:gd name="connsiteX5" fmla="*/ 0 w 736796"/>
            <a:gd name="connsiteY5" fmla="*/ 695489 h 726036"/>
            <a:gd name="connsiteX0" fmla="*/ 0 w 736796"/>
            <a:gd name="connsiteY0" fmla="*/ 695489 h 772968"/>
            <a:gd name="connsiteX1" fmla="*/ 169885 w 736796"/>
            <a:gd name="connsiteY1" fmla="*/ 772968 h 772968"/>
            <a:gd name="connsiteX2" fmla="*/ 557575 w 736796"/>
            <a:gd name="connsiteY2" fmla="*/ 615300 h 772968"/>
            <a:gd name="connsiteX3" fmla="*/ 736796 w 736796"/>
            <a:gd name="connsiteY3" fmla="*/ 151362 h 772968"/>
            <a:gd name="connsiteX4" fmla="*/ 541953 w 736796"/>
            <a:gd name="connsiteY4" fmla="*/ 0 h 772968"/>
            <a:gd name="connsiteX5" fmla="*/ 0 w 736796"/>
            <a:gd name="connsiteY5" fmla="*/ 695489 h 772968"/>
            <a:gd name="connsiteX0" fmla="*/ 0 w 736796"/>
            <a:gd name="connsiteY0" fmla="*/ 695489 h 746150"/>
            <a:gd name="connsiteX1" fmla="*/ 155302 w 736796"/>
            <a:gd name="connsiteY1" fmla="*/ 746150 h 746150"/>
            <a:gd name="connsiteX2" fmla="*/ 557575 w 736796"/>
            <a:gd name="connsiteY2" fmla="*/ 615300 h 746150"/>
            <a:gd name="connsiteX3" fmla="*/ 736796 w 736796"/>
            <a:gd name="connsiteY3" fmla="*/ 151362 h 746150"/>
            <a:gd name="connsiteX4" fmla="*/ 541953 w 736796"/>
            <a:gd name="connsiteY4" fmla="*/ 0 h 746150"/>
            <a:gd name="connsiteX5" fmla="*/ 0 w 736796"/>
            <a:gd name="connsiteY5" fmla="*/ 695489 h 746150"/>
            <a:gd name="connsiteX0" fmla="*/ 0 w 736796"/>
            <a:gd name="connsiteY0" fmla="*/ 695489 h 746150"/>
            <a:gd name="connsiteX1" fmla="*/ 155302 w 736796"/>
            <a:gd name="connsiteY1" fmla="*/ 746150 h 746150"/>
            <a:gd name="connsiteX2" fmla="*/ 550284 w 736796"/>
            <a:gd name="connsiteY2" fmla="*/ 628710 h 746150"/>
            <a:gd name="connsiteX3" fmla="*/ 736796 w 736796"/>
            <a:gd name="connsiteY3" fmla="*/ 151362 h 746150"/>
            <a:gd name="connsiteX4" fmla="*/ 541953 w 736796"/>
            <a:gd name="connsiteY4" fmla="*/ 0 h 746150"/>
            <a:gd name="connsiteX5" fmla="*/ 0 w 736796"/>
            <a:gd name="connsiteY5" fmla="*/ 695489 h 746150"/>
            <a:gd name="connsiteX0" fmla="*/ 0 w 736796"/>
            <a:gd name="connsiteY0" fmla="*/ 668671 h 719332"/>
            <a:gd name="connsiteX1" fmla="*/ 155302 w 736796"/>
            <a:gd name="connsiteY1" fmla="*/ 719332 h 719332"/>
            <a:gd name="connsiteX2" fmla="*/ 550284 w 736796"/>
            <a:gd name="connsiteY2" fmla="*/ 601892 h 719332"/>
            <a:gd name="connsiteX3" fmla="*/ 736796 w 736796"/>
            <a:gd name="connsiteY3" fmla="*/ 124544 h 719332"/>
            <a:gd name="connsiteX4" fmla="*/ 512788 w 736796"/>
            <a:gd name="connsiteY4" fmla="*/ 0 h 719332"/>
            <a:gd name="connsiteX5" fmla="*/ 0 w 736796"/>
            <a:gd name="connsiteY5" fmla="*/ 668671 h 719332"/>
            <a:gd name="connsiteX0" fmla="*/ 0 w 677109"/>
            <a:gd name="connsiteY0" fmla="*/ 668671 h 719332"/>
            <a:gd name="connsiteX1" fmla="*/ 155302 w 677109"/>
            <a:gd name="connsiteY1" fmla="*/ 719332 h 719332"/>
            <a:gd name="connsiteX2" fmla="*/ 550284 w 677109"/>
            <a:gd name="connsiteY2" fmla="*/ 601892 h 719332"/>
            <a:gd name="connsiteX3" fmla="*/ 677109 w 677109"/>
            <a:gd name="connsiteY3" fmla="*/ 69074 h 719332"/>
            <a:gd name="connsiteX4" fmla="*/ 512788 w 677109"/>
            <a:gd name="connsiteY4" fmla="*/ 0 h 719332"/>
            <a:gd name="connsiteX5" fmla="*/ 0 w 677109"/>
            <a:gd name="connsiteY5" fmla="*/ 668671 h 719332"/>
            <a:gd name="connsiteX0" fmla="*/ 0 w 677109"/>
            <a:gd name="connsiteY0" fmla="*/ 668671 h 719332"/>
            <a:gd name="connsiteX1" fmla="*/ 155302 w 677109"/>
            <a:gd name="connsiteY1" fmla="*/ 719332 h 719332"/>
            <a:gd name="connsiteX2" fmla="*/ 391118 w 677109"/>
            <a:gd name="connsiteY2" fmla="*/ 546424 h 719332"/>
            <a:gd name="connsiteX3" fmla="*/ 677109 w 677109"/>
            <a:gd name="connsiteY3" fmla="*/ 69074 h 719332"/>
            <a:gd name="connsiteX4" fmla="*/ 512788 w 677109"/>
            <a:gd name="connsiteY4" fmla="*/ 0 h 719332"/>
            <a:gd name="connsiteX5" fmla="*/ 0 w 677109"/>
            <a:gd name="connsiteY5" fmla="*/ 668671 h 719332"/>
            <a:gd name="connsiteX0" fmla="*/ 0 w 677109"/>
            <a:gd name="connsiteY0" fmla="*/ 668671 h 719332"/>
            <a:gd name="connsiteX1" fmla="*/ 79567 w 677109"/>
            <a:gd name="connsiteY1" fmla="*/ 719332 h 719332"/>
            <a:gd name="connsiteX2" fmla="*/ 391118 w 677109"/>
            <a:gd name="connsiteY2" fmla="*/ 546424 h 719332"/>
            <a:gd name="connsiteX3" fmla="*/ 677109 w 677109"/>
            <a:gd name="connsiteY3" fmla="*/ 69074 h 719332"/>
            <a:gd name="connsiteX4" fmla="*/ 512788 w 677109"/>
            <a:gd name="connsiteY4" fmla="*/ 0 h 719332"/>
            <a:gd name="connsiteX5" fmla="*/ 0 w 677109"/>
            <a:gd name="connsiteY5" fmla="*/ 668671 h 719332"/>
            <a:gd name="connsiteX0" fmla="*/ 0 w 677109"/>
            <a:gd name="connsiteY0" fmla="*/ 708644 h 759305"/>
            <a:gd name="connsiteX1" fmla="*/ 79567 w 677109"/>
            <a:gd name="connsiteY1" fmla="*/ 759305 h 759305"/>
            <a:gd name="connsiteX2" fmla="*/ 391118 w 677109"/>
            <a:gd name="connsiteY2" fmla="*/ 586397 h 759305"/>
            <a:gd name="connsiteX3" fmla="*/ 677109 w 677109"/>
            <a:gd name="connsiteY3" fmla="*/ 109047 h 759305"/>
            <a:gd name="connsiteX4" fmla="*/ 462298 w 677109"/>
            <a:gd name="connsiteY4" fmla="*/ 0 h 759305"/>
            <a:gd name="connsiteX5" fmla="*/ 0 w 677109"/>
            <a:gd name="connsiteY5" fmla="*/ 708644 h 759305"/>
            <a:gd name="connsiteX0" fmla="*/ 0 w 609787"/>
            <a:gd name="connsiteY0" fmla="*/ 708644 h 759305"/>
            <a:gd name="connsiteX1" fmla="*/ 79567 w 609787"/>
            <a:gd name="connsiteY1" fmla="*/ 759305 h 759305"/>
            <a:gd name="connsiteX2" fmla="*/ 391118 w 609787"/>
            <a:gd name="connsiteY2" fmla="*/ 586397 h 759305"/>
            <a:gd name="connsiteX3" fmla="*/ 609787 w 609787"/>
            <a:gd name="connsiteY3" fmla="*/ 85064 h 759305"/>
            <a:gd name="connsiteX4" fmla="*/ 462298 w 609787"/>
            <a:gd name="connsiteY4" fmla="*/ 0 h 759305"/>
            <a:gd name="connsiteX5" fmla="*/ 0 w 609787"/>
            <a:gd name="connsiteY5" fmla="*/ 708644 h 759305"/>
            <a:gd name="connsiteX0" fmla="*/ 0 w 576126"/>
            <a:gd name="connsiteY0" fmla="*/ 740622 h 759305"/>
            <a:gd name="connsiteX1" fmla="*/ 45906 w 576126"/>
            <a:gd name="connsiteY1" fmla="*/ 759305 h 759305"/>
            <a:gd name="connsiteX2" fmla="*/ 357457 w 576126"/>
            <a:gd name="connsiteY2" fmla="*/ 586397 h 759305"/>
            <a:gd name="connsiteX3" fmla="*/ 576126 w 576126"/>
            <a:gd name="connsiteY3" fmla="*/ 85064 h 759305"/>
            <a:gd name="connsiteX4" fmla="*/ 428637 w 576126"/>
            <a:gd name="connsiteY4" fmla="*/ 0 h 759305"/>
            <a:gd name="connsiteX5" fmla="*/ 0 w 576126"/>
            <a:gd name="connsiteY5" fmla="*/ 740622 h 759305"/>
            <a:gd name="connsiteX0" fmla="*/ 0 w 576126"/>
            <a:gd name="connsiteY0" fmla="*/ 740622 h 767300"/>
            <a:gd name="connsiteX1" fmla="*/ 71152 w 576126"/>
            <a:gd name="connsiteY1" fmla="*/ 767300 h 767300"/>
            <a:gd name="connsiteX2" fmla="*/ 357457 w 576126"/>
            <a:gd name="connsiteY2" fmla="*/ 586397 h 767300"/>
            <a:gd name="connsiteX3" fmla="*/ 576126 w 576126"/>
            <a:gd name="connsiteY3" fmla="*/ 85064 h 767300"/>
            <a:gd name="connsiteX4" fmla="*/ 428637 w 576126"/>
            <a:gd name="connsiteY4" fmla="*/ 0 h 767300"/>
            <a:gd name="connsiteX5" fmla="*/ 0 w 576126"/>
            <a:gd name="connsiteY5" fmla="*/ 740622 h 767300"/>
            <a:gd name="connsiteX0" fmla="*/ 0 w 576126"/>
            <a:gd name="connsiteY0" fmla="*/ 760084 h 786762"/>
            <a:gd name="connsiteX1" fmla="*/ 71152 w 576126"/>
            <a:gd name="connsiteY1" fmla="*/ 786762 h 786762"/>
            <a:gd name="connsiteX2" fmla="*/ 357457 w 576126"/>
            <a:gd name="connsiteY2" fmla="*/ 605859 h 786762"/>
            <a:gd name="connsiteX3" fmla="*/ 576126 w 576126"/>
            <a:gd name="connsiteY3" fmla="*/ 104526 h 786762"/>
            <a:gd name="connsiteX4" fmla="*/ 456013 w 576126"/>
            <a:gd name="connsiteY4" fmla="*/ 0 h 786762"/>
            <a:gd name="connsiteX5" fmla="*/ 0 w 576126"/>
            <a:gd name="connsiteY5" fmla="*/ 760084 h 786762"/>
            <a:gd name="connsiteX0" fmla="*/ 0 w 562437"/>
            <a:gd name="connsiteY0" fmla="*/ 721158 h 786762"/>
            <a:gd name="connsiteX1" fmla="*/ 57463 w 562437"/>
            <a:gd name="connsiteY1" fmla="*/ 786762 h 786762"/>
            <a:gd name="connsiteX2" fmla="*/ 343768 w 562437"/>
            <a:gd name="connsiteY2" fmla="*/ 605859 h 786762"/>
            <a:gd name="connsiteX3" fmla="*/ 562437 w 562437"/>
            <a:gd name="connsiteY3" fmla="*/ 104526 h 786762"/>
            <a:gd name="connsiteX4" fmla="*/ 442324 w 562437"/>
            <a:gd name="connsiteY4" fmla="*/ 0 h 786762"/>
            <a:gd name="connsiteX5" fmla="*/ 0 w 562437"/>
            <a:gd name="connsiteY5" fmla="*/ 721158 h 786762"/>
            <a:gd name="connsiteX0" fmla="*/ 0 w 562437"/>
            <a:gd name="connsiteY0" fmla="*/ 721158 h 780275"/>
            <a:gd name="connsiteX1" fmla="*/ 84838 w 562437"/>
            <a:gd name="connsiteY1" fmla="*/ 780275 h 780275"/>
            <a:gd name="connsiteX2" fmla="*/ 343768 w 562437"/>
            <a:gd name="connsiteY2" fmla="*/ 605859 h 780275"/>
            <a:gd name="connsiteX3" fmla="*/ 562437 w 562437"/>
            <a:gd name="connsiteY3" fmla="*/ 104526 h 780275"/>
            <a:gd name="connsiteX4" fmla="*/ 442324 w 562437"/>
            <a:gd name="connsiteY4" fmla="*/ 0 h 780275"/>
            <a:gd name="connsiteX5" fmla="*/ 0 w 562437"/>
            <a:gd name="connsiteY5" fmla="*/ 721158 h 78027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562437" h="780275">
              <a:moveTo>
                <a:pt x="0" y="721158"/>
              </a:moveTo>
              <a:lnTo>
                <a:pt x="84838" y="780275"/>
              </a:lnTo>
              <a:lnTo>
                <a:pt x="343768" y="605859"/>
              </a:lnTo>
              <a:lnTo>
                <a:pt x="562437" y="104526"/>
              </a:lnTo>
              <a:lnTo>
                <a:pt x="442324" y="0"/>
              </a:lnTo>
              <a:lnTo>
                <a:pt x="0" y="721158"/>
              </a:lnTo>
              <a:close/>
            </a:path>
          </a:pathLst>
        </a:custGeom>
        <a:solidFill xmlns:a="http://schemas.openxmlformats.org/drawingml/2006/main">
          <a:schemeClr val="tx2">
            <a:alpha val="46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de-CH" sz="1100"/>
        </a:p>
      </cdr:txBody>
    </cdr:sp>
  </cdr:relSizeAnchor>
  <cdr:relSizeAnchor xmlns:cdr="http://schemas.openxmlformats.org/drawingml/2006/chartDrawing">
    <cdr:from>
      <cdr:x>0.35569</cdr:x>
      <cdr:y>0.87974</cdr:y>
    </cdr:from>
    <cdr:to>
      <cdr:x>0.36663</cdr:x>
      <cdr:y>0.88933</cdr:y>
    </cdr:to>
    <cdr:cxnSp macro="">
      <cdr:nvCxnSpPr>
        <cdr:cNvPr id="6" name="Gerade Verbindung mit Pfeil 5"/>
        <cdr:cNvCxnSpPr>
          <a:endCxn xmlns:a="http://schemas.openxmlformats.org/drawingml/2006/main" id="31" idx="2"/>
        </cdr:cNvCxnSpPr>
      </cdr:nvCxnSpPr>
      <cdr:spPr>
        <a:xfrm xmlns:a="http://schemas.openxmlformats.org/drawingml/2006/main" flipH="1" flipV="1">
          <a:off x="1691391" y="2955388"/>
          <a:ext cx="52015" cy="32213"/>
        </a:xfrm>
        <a:prstGeom xmlns:a="http://schemas.openxmlformats.org/drawingml/2006/main" prst="straightConnector1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19</xdr:row>
      <xdr:rowOff>0</xdr:rowOff>
    </xdr:from>
    <xdr:to>
      <xdr:col>5</xdr:col>
      <xdr:colOff>565396</xdr:colOff>
      <xdr:row>39</xdr:row>
      <xdr:rowOff>142186</xdr:rowOff>
    </xdr:to>
    <xdr:graphicFrame macro="">
      <xdr:nvGraphicFramePr>
        <xdr:cNvPr id="2" name="Chart 1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4</xdr:col>
      <xdr:colOff>807656</xdr:colOff>
      <xdr:row>18</xdr:row>
      <xdr:rowOff>151172</xdr:rowOff>
    </xdr:from>
    <xdr:to>
      <xdr:col>10</xdr:col>
      <xdr:colOff>609160</xdr:colOff>
      <xdr:row>39</xdr:row>
      <xdr:rowOff>146182</xdr:rowOff>
    </xdr:to>
    <xdr:graphicFrame macro="">
      <xdr:nvGraphicFramePr>
        <xdr:cNvPr id="3" name="Chart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0.28801</cdr:x>
      <cdr:y>0.43272</cdr:y>
    </cdr:from>
    <cdr:to>
      <cdr:x>0.41998</cdr:x>
      <cdr:y>0.71591</cdr:y>
    </cdr:to>
    <cdr:sp macro="" textlink="">
      <cdr:nvSpPr>
        <cdr:cNvPr id="34" name="Freihandform 33"/>
        <cdr:cNvSpPr/>
      </cdr:nvSpPr>
      <cdr:spPr>
        <a:xfrm xmlns:a="http://schemas.openxmlformats.org/drawingml/2006/main">
          <a:off x="1369908" y="1495848"/>
          <a:ext cx="627673" cy="978971"/>
        </a:xfrm>
        <a:custGeom xmlns:a="http://schemas.openxmlformats.org/drawingml/2006/main">
          <a:avLst/>
          <a:gdLst>
            <a:gd name="connsiteX0" fmla="*/ 603250 w 686594"/>
            <a:gd name="connsiteY0" fmla="*/ 0 h 869157"/>
            <a:gd name="connsiteX1" fmla="*/ 686594 w 686594"/>
            <a:gd name="connsiteY1" fmla="*/ 35719 h 869157"/>
            <a:gd name="connsiteX2" fmla="*/ 0 w 686594"/>
            <a:gd name="connsiteY2" fmla="*/ 869157 h 869157"/>
            <a:gd name="connsiteX3" fmla="*/ 603250 w 686594"/>
            <a:gd name="connsiteY3" fmla="*/ 0 h 869157"/>
            <a:gd name="connsiteX0" fmla="*/ 615157 w 686594"/>
            <a:gd name="connsiteY0" fmla="*/ 0 h 857251"/>
            <a:gd name="connsiteX1" fmla="*/ 686594 w 686594"/>
            <a:gd name="connsiteY1" fmla="*/ 23813 h 857251"/>
            <a:gd name="connsiteX2" fmla="*/ 0 w 686594"/>
            <a:gd name="connsiteY2" fmla="*/ 857251 h 857251"/>
            <a:gd name="connsiteX3" fmla="*/ 615157 w 686594"/>
            <a:gd name="connsiteY3" fmla="*/ 0 h 857251"/>
            <a:gd name="connsiteX0" fmla="*/ 491390 w 686594"/>
            <a:gd name="connsiteY0" fmla="*/ 0 h 930613"/>
            <a:gd name="connsiteX1" fmla="*/ 686594 w 686594"/>
            <a:gd name="connsiteY1" fmla="*/ 97175 h 930613"/>
            <a:gd name="connsiteX2" fmla="*/ 0 w 686594"/>
            <a:gd name="connsiteY2" fmla="*/ 930613 h 930613"/>
            <a:gd name="connsiteX3" fmla="*/ 491390 w 686594"/>
            <a:gd name="connsiteY3" fmla="*/ 0 h 930613"/>
            <a:gd name="connsiteX0" fmla="*/ 491390 w 491390"/>
            <a:gd name="connsiteY0" fmla="*/ 0 h 930613"/>
            <a:gd name="connsiteX1" fmla="*/ 379868 w 491390"/>
            <a:gd name="connsiteY1" fmla="*/ 10474 h 930613"/>
            <a:gd name="connsiteX2" fmla="*/ 0 w 491390"/>
            <a:gd name="connsiteY2" fmla="*/ 930613 h 930613"/>
            <a:gd name="connsiteX3" fmla="*/ 491390 w 491390"/>
            <a:gd name="connsiteY3" fmla="*/ 0 h 930613"/>
            <a:gd name="connsiteX0" fmla="*/ 464484 w 464484"/>
            <a:gd name="connsiteY0" fmla="*/ 0 h 1137360"/>
            <a:gd name="connsiteX1" fmla="*/ 379868 w 464484"/>
            <a:gd name="connsiteY1" fmla="*/ 217221 h 1137360"/>
            <a:gd name="connsiteX2" fmla="*/ 0 w 464484"/>
            <a:gd name="connsiteY2" fmla="*/ 1137360 h 1137360"/>
            <a:gd name="connsiteX3" fmla="*/ 464484 w 464484"/>
            <a:gd name="connsiteY3" fmla="*/ 0 h 1137360"/>
            <a:gd name="connsiteX0" fmla="*/ 84616 w 540311"/>
            <a:gd name="connsiteY0" fmla="*/ 0 h 810567"/>
            <a:gd name="connsiteX1" fmla="*/ 0 w 540311"/>
            <a:gd name="connsiteY1" fmla="*/ 217221 h 810567"/>
            <a:gd name="connsiteX2" fmla="*/ 540310 w 540311"/>
            <a:gd name="connsiteY2" fmla="*/ 810567 h 810567"/>
            <a:gd name="connsiteX3" fmla="*/ 84616 w 540311"/>
            <a:gd name="connsiteY3" fmla="*/ 0 h 810567"/>
            <a:gd name="connsiteX0" fmla="*/ 215011 w 540310"/>
            <a:gd name="connsiteY0" fmla="*/ 0 h 853822"/>
            <a:gd name="connsiteX1" fmla="*/ 0 w 540310"/>
            <a:gd name="connsiteY1" fmla="*/ 260476 h 853822"/>
            <a:gd name="connsiteX2" fmla="*/ 540310 w 540310"/>
            <a:gd name="connsiteY2" fmla="*/ 853822 h 853822"/>
            <a:gd name="connsiteX3" fmla="*/ 215011 w 540310"/>
            <a:gd name="connsiteY3" fmla="*/ 0 h 853822"/>
            <a:gd name="connsiteX0" fmla="*/ 109691 w 434990"/>
            <a:gd name="connsiteY0" fmla="*/ 0 h 853822"/>
            <a:gd name="connsiteX1" fmla="*/ 0 w 434990"/>
            <a:gd name="connsiteY1" fmla="*/ 427316 h 853822"/>
            <a:gd name="connsiteX2" fmla="*/ 434990 w 434990"/>
            <a:gd name="connsiteY2" fmla="*/ 853822 h 853822"/>
            <a:gd name="connsiteX3" fmla="*/ 109691 w 434990"/>
            <a:gd name="connsiteY3" fmla="*/ 0 h 853822"/>
            <a:gd name="connsiteX0" fmla="*/ 119721 w 445020"/>
            <a:gd name="connsiteY0" fmla="*/ 0 h 853822"/>
            <a:gd name="connsiteX1" fmla="*/ 0 w 445020"/>
            <a:gd name="connsiteY1" fmla="*/ 427316 h 853822"/>
            <a:gd name="connsiteX2" fmla="*/ 445020 w 445020"/>
            <a:gd name="connsiteY2" fmla="*/ 853822 h 853822"/>
            <a:gd name="connsiteX3" fmla="*/ 119721 w 445020"/>
            <a:gd name="connsiteY3" fmla="*/ 0 h 853822"/>
            <a:gd name="connsiteX0" fmla="*/ 109690 w 445020"/>
            <a:gd name="connsiteY0" fmla="*/ 0 h 897077"/>
            <a:gd name="connsiteX1" fmla="*/ 0 w 445020"/>
            <a:gd name="connsiteY1" fmla="*/ 470571 h 897077"/>
            <a:gd name="connsiteX2" fmla="*/ 445020 w 445020"/>
            <a:gd name="connsiteY2" fmla="*/ 897077 h 897077"/>
            <a:gd name="connsiteX3" fmla="*/ 109690 w 445020"/>
            <a:gd name="connsiteY3" fmla="*/ 0 h 897077"/>
            <a:gd name="connsiteX0" fmla="*/ 109690 w 495172"/>
            <a:gd name="connsiteY0" fmla="*/ 0 h 940332"/>
            <a:gd name="connsiteX1" fmla="*/ 0 w 495172"/>
            <a:gd name="connsiteY1" fmla="*/ 470571 h 940332"/>
            <a:gd name="connsiteX2" fmla="*/ 495172 w 495172"/>
            <a:gd name="connsiteY2" fmla="*/ 940332 h 940332"/>
            <a:gd name="connsiteX3" fmla="*/ 109690 w 495172"/>
            <a:gd name="connsiteY3" fmla="*/ 0 h 940332"/>
            <a:gd name="connsiteX0" fmla="*/ 74914 w 495172"/>
            <a:gd name="connsiteY0" fmla="*/ 0 h 911044"/>
            <a:gd name="connsiteX1" fmla="*/ 0 w 495172"/>
            <a:gd name="connsiteY1" fmla="*/ 441283 h 911044"/>
            <a:gd name="connsiteX2" fmla="*/ 495172 w 495172"/>
            <a:gd name="connsiteY2" fmla="*/ 911044 h 911044"/>
            <a:gd name="connsiteX3" fmla="*/ 74914 w 495172"/>
            <a:gd name="connsiteY3" fmla="*/ 0 h 911044"/>
            <a:gd name="connsiteX0" fmla="*/ 190832 w 611090"/>
            <a:gd name="connsiteY0" fmla="*/ 0 h 911044"/>
            <a:gd name="connsiteX1" fmla="*/ 0 w 611090"/>
            <a:gd name="connsiteY1" fmla="*/ 390029 h 911044"/>
            <a:gd name="connsiteX2" fmla="*/ 611090 w 611090"/>
            <a:gd name="connsiteY2" fmla="*/ 911044 h 911044"/>
            <a:gd name="connsiteX3" fmla="*/ 190832 w 611090"/>
            <a:gd name="connsiteY3" fmla="*/ 0 h 911044"/>
            <a:gd name="connsiteX0" fmla="*/ 185036 w 611090"/>
            <a:gd name="connsiteY0" fmla="*/ 0 h 925687"/>
            <a:gd name="connsiteX1" fmla="*/ 0 w 611090"/>
            <a:gd name="connsiteY1" fmla="*/ 404672 h 925687"/>
            <a:gd name="connsiteX2" fmla="*/ 611090 w 611090"/>
            <a:gd name="connsiteY2" fmla="*/ 925687 h 925687"/>
            <a:gd name="connsiteX3" fmla="*/ 185036 w 611090"/>
            <a:gd name="connsiteY3" fmla="*/ 0 h 925687"/>
            <a:gd name="connsiteX0" fmla="*/ 139899 w 611090"/>
            <a:gd name="connsiteY0" fmla="*/ 0 h 969126"/>
            <a:gd name="connsiteX1" fmla="*/ 0 w 611090"/>
            <a:gd name="connsiteY1" fmla="*/ 448111 h 969126"/>
            <a:gd name="connsiteX2" fmla="*/ 611090 w 611090"/>
            <a:gd name="connsiteY2" fmla="*/ 969126 h 969126"/>
            <a:gd name="connsiteX3" fmla="*/ 139899 w 611090"/>
            <a:gd name="connsiteY3" fmla="*/ 0 h 969126"/>
            <a:gd name="connsiteX0" fmla="*/ 139899 w 495739"/>
            <a:gd name="connsiteY0" fmla="*/ 0 h 956715"/>
            <a:gd name="connsiteX1" fmla="*/ 0 w 495739"/>
            <a:gd name="connsiteY1" fmla="*/ 448111 h 956715"/>
            <a:gd name="connsiteX2" fmla="*/ 495739 w 495739"/>
            <a:gd name="connsiteY2" fmla="*/ 956715 h 956715"/>
            <a:gd name="connsiteX3" fmla="*/ 139899 w 495739"/>
            <a:gd name="connsiteY3" fmla="*/ 0 h 956715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495739" h="956715">
              <a:moveTo>
                <a:pt x="139899" y="0"/>
              </a:moveTo>
              <a:lnTo>
                <a:pt x="0" y="448111"/>
              </a:lnTo>
              <a:lnTo>
                <a:pt x="495739" y="956715"/>
              </a:lnTo>
              <a:lnTo>
                <a:pt x="139899" y="0"/>
              </a:lnTo>
              <a:close/>
            </a:path>
          </a:pathLst>
        </a:custGeom>
        <a:solidFill xmlns:a="http://schemas.openxmlformats.org/drawingml/2006/main">
          <a:schemeClr val="accent1">
            <a:alpha val="22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0.24026</cdr:x>
      <cdr:y>0.56294</cdr:y>
    </cdr:from>
    <cdr:to>
      <cdr:x>0.34852</cdr:x>
      <cdr:y>0.88043</cdr:y>
    </cdr:to>
    <cdr:sp macro="" textlink="">
      <cdr:nvSpPr>
        <cdr:cNvPr id="31" name="Freihandform 30"/>
        <cdr:cNvSpPr/>
      </cdr:nvSpPr>
      <cdr:spPr>
        <a:xfrm xmlns:a="http://schemas.openxmlformats.org/drawingml/2006/main">
          <a:off x="1142790" y="1946030"/>
          <a:ext cx="514901" cy="1097503"/>
        </a:xfrm>
        <a:custGeom xmlns:a="http://schemas.openxmlformats.org/drawingml/2006/main">
          <a:avLst/>
          <a:gdLst>
            <a:gd name="connsiteX0" fmla="*/ 603250 w 686594"/>
            <a:gd name="connsiteY0" fmla="*/ 0 h 869157"/>
            <a:gd name="connsiteX1" fmla="*/ 686594 w 686594"/>
            <a:gd name="connsiteY1" fmla="*/ 35719 h 869157"/>
            <a:gd name="connsiteX2" fmla="*/ 0 w 686594"/>
            <a:gd name="connsiteY2" fmla="*/ 869157 h 869157"/>
            <a:gd name="connsiteX3" fmla="*/ 603250 w 686594"/>
            <a:gd name="connsiteY3" fmla="*/ 0 h 869157"/>
            <a:gd name="connsiteX0" fmla="*/ 615157 w 686594"/>
            <a:gd name="connsiteY0" fmla="*/ 0 h 857251"/>
            <a:gd name="connsiteX1" fmla="*/ 686594 w 686594"/>
            <a:gd name="connsiteY1" fmla="*/ 23813 h 857251"/>
            <a:gd name="connsiteX2" fmla="*/ 0 w 686594"/>
            <a:gd name="connsiteY2" fmla="*/ 857251 h 857251"/>
            <a:gd name="connsiteX3" fmla="*/ 615157 w 686594"/>
            <a:gd name="connsiteY3" fmla="*/ 0 h 857251"/>
            <a:gd name="connsiteX0" fmla="*/ 0 w 2567752"/>
            <a:gd name="connsiteY0" fmla="*/ 369820 h 833438"/>
            <a:gd name="connsiteX1" fmla="*/ 2567752 w 2567752"/>
            <a:gd name="connsiteY1" fmla="*/ 0 h 833438"/>
            <a:gd name="connsiteX2" fmla="*/ 1881158 w 2567752"/>
            <a:gd name="connsiteY2" fmla="*/ 833438 h 833438"/>
            <a:gd name="connsiteX3" fmla="*/ 0 w 2567752"/>
            <a:gd name="connsiteY3" fmla="*/ 369820 h 833438"/>
            <a:gd name="connsiteX0" fmla="*/ 0 w 1881158"/>
            <a:gd name="connsiteY0" fmla="*/ 206937 h 670555"/>
            <a:gd name="connsiteX1" fmla="*/ 241485 w 1881158"/>
            <a:gd name="connsiteY1" fmla="*/ 0 h 670555"/>
            <a:gd name="connsiteX2" fmla="*/ 1881158 w 1881158"/>
            <a:gd name="connsiteY2" fmla="*/ 670555 h 670555"/>
            <a:gd name="connsiteX3" fmla="*/ 0 w 1881158"/>
            <a:gd name="connsiteY3" fmla="*/ 206937 h 670555"/>
            <a:gd name="connsiteX0" fmla="*/ 0 w 595590"/>
            <a:gd name="connsiteY0" fmla="*/ 206937 h 1186350"/>
            <a:gd name="connsiteX1" fmla="*/ 241485 w 595590"/>
            <a:gd name="connsiteY1" fmla="*/ 0 h 1186350"/>
            <a:gd name="connsiteX2" fmla="*/ 595590 w 595590"/>
            <a:gd name="connsiteY2" fmla="*/ 1186350 h 1186350"/>
            <a:gd name="connsiteX3" fmla="*/ 0 w 595590"/>
            <a:gd name="connsiteY3" fmla="*/ 206937 h 1186350"/>
            <a:gd name="connsiteX0" fmla="*/ 0 w 629600"/>
            <a:gd name="connsiteY0" fmla="*/ 206937 h 1186350"/>
            <a:gd name="connsiteX1" fmla="*/ 275495 w 629600"/>
            <a:gd name="connsiteY1" fmla="*/ 0 h 1186350"/>
            <a:gd name="connsiteX2" fmla="*/ 629600 w 629600"/>
            <a:gd name="connsiteY2" fmla="*/ 1186350 h 1186350"/>
            <a:gd name="connsiteX3" fmla="*/ 0 w 629600"/>
            <a:gd name="connsiteY3" fmla="*/ 206937 h 1186350"/>
            <a:gd name="connsiteX0" fmla="*/ 0 w 629600"/>
            <a:gd name="connsiteY0" fmla="*/ 227297 h 1206710"/>
            <a:gd name="connsiteX1" fmla="*/ 282298 w 629600"/>
            <a:gd name="connsiteY1" fmla="*/ 0 h 1206710"/>
            <a:gd name="connsiteX2" fmla="*/ 629600 w 629600"/>
            <a:gd name="connsiteY2" fmla="*/ 1206710 h 1206710"/>
            <a:gd name="connsiteX3" fmla="*/ 0 w 629600"/>
            <a:gd name="connsiteY3" fmla="*/ 227297 h 1206710"/>
            <a:gd name="connsiteX0" fmla="*/ 0 w 629600"/>
            <a:gd name="connsiteY0" fmla="*/ 51237 h 1030650"/>
            <a:gd name="connsiteX1" fmla="*/ 383728 w 629600"/>
            <a:gd name="connsiteY1" fmla="*/ 0 h 1030650"/>
            <a:gd name="connsiteX2" fmla="*/ 629600 w 629600"/>
            <a:gd name="connsiteY2" fmla="*/ 1030650 h 1030650"/>
            <a:gd name="connsiteX3" fmla="*/ 0 w 629600"/>
            <a:gd name="connsiteY3" fmla="*/ 51237 h 1030650"/>
            <a:gd name="connsiteX0" fmla="*/ 0 w 572545"/>
            <a:gd name="connsiteY0" fmla="*/ 70100 h 1030650"/>
            <a:gd name="connsiteX1" fmla="*/ 326673 w 572545"/>
            <a:gd name="connsiteY1" fmla="*/ 0 h 1030650"/>
            <a:gd name="connsiteX2" fmla="*/ 572545 w 572545"/>
            <a:gd name="connsiteY2" fmla="*/ 1030650 h 1030650"/>
            <a:gd name="connsiteX3" fmla="*/ 0 w 572545"/>
            <a:gd name="connsiteY3" fmla="*/ 70100 h 1030650"/>
            <a:gd name="connsiteX0" fmla="*/ 0 w 572545"/>
            <a:gd name="connsiteY0" fmla="*/ 137154 h 1097704"/>
            <a:gd name="connsiteX1" fmla="*/ 194801 w 572545"/>
            <a:gd name="connsiteY1" fmla="*/ 0 h 1097704"/>
            <a:gd name="connsiteX2" fmla="*/ 572545 w 572545"/>
            <a:gd name="connsiteY2" fmla="*/ 1097704 h 1097704"/>
            <a:gd name="connsiteX3" fmla="*/ 0 w 572545"/>
            <a:gd name="connsiteY3" fmla="*/ 137154 h 1097704"/>
            <a:gd name="connsiteX0" fmla="*/ 0 w 609177"/>
            <a:gd name="connsiteY0" fmla="*/ 129703 h 1097704"/>
            <a:gd name="connsiteX1" fmla="*/ 231433 w 609177"/>
            <a:gd name="connsiteY1" fmla="*/ 0 h 1097704"/>
            <a:gd name="connsiteX2" fmla="*/ 609177 w 609177"/>
            <a:gd name="connsiteY2" fmla="*/ 1097704 h 1097704"/>
            <a:gd name="connsiteX3" fmla="*/ 0 w 609177"/>
            <a:gd name="connsiteY3" fmla="*/ 129703 h 1097704"/>
            <a:gd name="connsiteX0" fmla="*/ 0 w 533099"/>
            <a:gd name="connsiteY0" fmla="*/ 129703 h 1091389"/>
            <a:gd name="connsiteX1" fmla="*/ 231433 w 533099"/>
            <a:gd name="connsiteY1" fmla="*/ 0 h 1091389"/>
            <a:gd name="connsiteX2" fmla="*/ 533099 w 533099"/>
            <a:gd name="connsiteY2" fmla="*/ 1091389 h 1091389"/>
            <a:gd name="connsiteX3" fmla="*/ 0 w 533099"/>
            <a:gd name="connsiteY3" fmla="*/ 129703 h 1091389"/>
            <a:gd name="connsiteX0" fmla="*/ 0 w 514079"/>
            <a:gd name="connsiteY0" fmla="*/ 129703 h 1091389"/>
            <a:gd name="connsiteX1" fmla="*/ 212413 w 514079"/>
            <a:gd name="connsiteY1" fmla="*/ 0 h 1091389"/>
            <a:gd name="connsiteX2" fmla="*/ 514079 w 514079"/>
            <a:gd name="connsiteY2" fmla="*/ 1091389 h 1091389"/>
            <a:gd name="connsiteX3" fmla="*/ 0 w 514079"/>
            <a:gd name="connsiteY3" fmla="*/ 129703 h 109138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514079" h="1091389">
              <a:moveTo>
                <a:pt x="0" y="129703"/>
              </a:moveTo>
              <a:lnTo>
                <a:pt x="212413" y="0"/>
              </a:lnTo>
              <a:lnTo>
                <a:pt x="514079" y="1091389"/>
              </a:lnTo>
              <a:lnTo>
                <a:pt x="0" y="129703"/>
              </a:lnTo>
              <a:close/>
            </a:path>
          </a:pathLst>
        </a:custGeom>
        <a:solidFill xmlns:a="http://schemas.openxmlformats.org/drawingml/2006/main">
          <a:schemeClr val="accent1">
            <a:alpha val="23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0.0965</cdr:x>
      <cdr:y>0.59318</cdr:y>
    </cdr:from>
    <cdr:to>
      <cdr:x>0.24449</cdr:x>
      <cdr:y>0.88663</cdr:y>
    </cdr:to>
    <cdr:sp macro="" textlink="">
      <cdr:nvSpPr>
        <cdr:cNvPr id="2" name="Freihandform 1"/>
        <cdr:cNvSpPr/>
      </cdr:nvSpPr>
      <cdr:spPr>
        <a:xfrm xmlns:a="http://schemas.openxmlformats.org/drawingml/2006/main">
          <a:off x="459012" y="2050566"/>
          <a:ext cx="703875" cy="1014409"/>
        </a:xfrm>
        <a:custGeom xmlns:a="http://schemas.openxmlformats.org/drawingml/2006/main">
          <a:avLst/>
          <a:gdLst>
            <a:gd name="connsiteX0" fmla="*/ 603250 w 686594"/>
            <a:gd name="connsiteY0" fmla="*/ 0 h 869157"/>
            <a:gd name="connsiteX1" fmla="*/ 686594 w 686594"/>
            <a:gd name="connsiteY1" fmla="*/ 35719 h 869157"/>
            <a:gd name="connsiteX2" fmla="*/ 0 w 686594"/>
            <a:gd name="connsiteY2" fmla="*/ 869157 h 869157"/>
            <a:gd name="connsiteX3" fmla="*/ 603250 w 686594"/>
            <a:gd name="connsiteY3" fmla="*/ 0 h 869157"/>
            <a:gd name="connsiteX0" fmla="*/ 615157 w 686594"/>
            <a:gd name="connsiteY0" fmla="*/ 0 h 857251"/>
            <a:gd name="connsiteX1" fmla="*/ 686594 w 686594"/>
            <a:gd name="connsiteY1" fmla="*/ 23813 h 857251"/>
            <a:gd name="connsiteX2" fmla="*/ 0 w 686594"/>
            <a:gd name="connsiteY2" fmla="*/ 857251 h 857251"/>
            <a:gd name="connsiteX3" fmla="*/ 615157 w 686594"/>
            <a:gd name="connsiteY3" fmla="*/ 0 h 857251"/>
            <a:gd name="connsiteX0" fmla="*/ 615157 w 711950"/>
            <a:gd name="connsiteY0" fmla="*/ 0 h 857251"/>
            <a:gd name="connsiteX1" fmla="*/ 711950 w 711950"/>
            <a:gd name="connsiteY1" fmla="*/ 74117 h 857251"/>
            <a:gd name="connsiteX2" fmla="*/ 0 w 711950"/>
            <a:gd name="connsiteY2" fmla="*/ 857251 h 857251"/>
            <a:gd name="connsiteX3" fmla="*/ 615157 w 711950"/>
            <a:gd name="connsiteY3" fmla="*/ 0 h 857251"/>
            <a:gd name="connsiteX0" fmla="*/ 615157 w 730967"/>
            <a:gd name="connsiteY0" fmla="*/ 0 h 857251"/>
            <a:gd name="connsiteX1" fmla="*/ 730967 w 730967"/>
            <a:gd name="connsiteY1" fmla="*/ 42677 h 857251"/>
            <a:gd name="connsiteX2" fmla="*/ 0 w 730967"/>
            <a:gd name="connsiteY2" fmla="*/ 857251 h 857251"/>
            <a:gd name="connsiteX3" fmla="*/ 615157 w 730967"/>
            <a:gd name="connsiteY3" fmla="*/ 0 h 857251"/>
            <a:gd name="connsiteX0" fmla="*/ 615157 w 708992"/>
            <a:gd name="connsiteY0" fmla="*/ 0 h 857251"/>
            <a:gd name="connsiteX1" fmla="*/ 708992 w 708992"/>
            <a:gd name="connsiteY1" fmla="*/ 27776 h 857251"/>
            <a:gd name="connsiteX2" fmla="*/ 0 w 708992"/>
            <a:gd name="connsiteY2" fmla="*/ 857251 h 857251"/>
            <a:gd name="connsiteX3" fmla="*/ 615157 w 708992"/>
            <a:gd name="connsiteY3" fmla="*/ 0 h 857251"/>
            <a:gd name="connsiteX0" fmla="*/ 494717 w 708992"/>
            <a:gd name="connsiteY0" fmla="*/ 10114 h 829475"/>
            <a:gd name="connsiteX1" fmla="*/ 708992 w 708992"/>
            <a:gd name="connsiteY1" fmla="*/ 0 h 829475"/>
            <a:gd name="connsiteX2" fmla="*/ 0 w 708992"/>
            <a:gd name="connsiteY2" fmla="*/ 829475 h 829475"/>
            <a:gd name="connsiteX3" fmla="*/ 494717 w 708992"/>
            <a:gd name="connsiteY3" fmla="*/ 10114 h 829475"/>
            <a:gd name="connsiteX0" fmla="*/ 494717 w 613907"/>
            <a:gd name="connsiteY0" fmla="*/ 0 h 819361"/>
            <a:gd name="connsiteX1" fmla="*/ 613907 w 613907"/>
            <a:gd name="connsiteY1" fmla="*/ 8831 h 819361"/>
            <a:gd name="connsiteX2" fmla="*/ 0 w 613907"/>
            <a:gd name="connsiteY2" fmla="*/ 819361 h 819361"/>
            <a:gd name="connsiteX3" fmla="*/ 494717 w 613907"/>
            <a:gd name="connsiteY3" fmla="*/ 0 h 819361"/>
            <a:gd name="connsiteX0" fmla="*/ 583463 w 702653"/>
            <a:gd name="connsiteY0" fmla="*/ 0 h 983550"/>
            <a:gd name="connsiteX1" fmla="*/ 702653 w 702653"/>
            <a:gd name="connsiteY1" fmla="*/ 8831 h 983550"/>
            <a:gd name="connsiteX2" fmla="*/ 0 w 702653"/>
            <a:gd name="connsiteY2" fmla="*/ 983550 h 983550"/>
            <a:gd name="connsiteX3" fmla="*/ 583463 w 702653"/>
            <a:gd name="connsiteY3" fmla="*/ 0 h 983550"/>
            <a:gd name="connsiteX0" fmla="*/ 608819 w 702653"/>
            <a:gd name="connsiteY0" fmla="*/ 0 h 1008810"/>
            <a:gd name="connsiteX1" fmla="*/ 702653 w 702653"/>
            <a:gd name="connsiteY1" fmla="*/ 34091 h 1008810"/>
            <a:gd name="connsiteX2" fmla="*/ 0 w 702653"/>
            <a:gd name="connsiteY2" fmla="*/ 1008810 h 1008810"/>
            <a:gd name="connsiteX3" fmla="*/ 608819 w 702653"/>
            <a:gd name="connsiteY3" fmla="*/ 0 h 100881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02653" h="1008810">
              <a:moveTo>
                <a:pt x="608819" y="0"/>
              </a:moveTo>
              <a:lnTo>
                <a:pt x="702653" y="34091"/>
              </a:lnTo>
              <a:lnTo>
                <a:pt x="0" y="1008810"/>
              </a:lnTo>
              <a:lnTo>
                <a:pt x="608819" y="0"/>
              </a:lnTo>
              <a:close/>
            </a:path>
          </a:pathLst>
        </a:custGeom>
        <a:solidFill xmlns:a="http://schemas.openxmlformats.org/drawingml/2006/main">
          <a:schemeClr val="accent1">
            <a:alpha val="23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0.08985</cdr:x>
      <cdr:y>0.09849</cdr:y>
    </cdr:from>
    <cdr:to>
      <cdr:x>0.9126</cdr:x>
      <cdr:y>0.88865</cdr:y>
    </cdr:to>
    <cdr:grpSp>
      <cdr:nvGrpSpPr>
        <cdr:cNvPr id="21" name="Group 1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427362" y="328794"/>
          <a:ext cx="3913325" cy="2637833"/>
          <a:chOff x="734" y="49"/>
          <a:chExt cx="358" cy="301"/>
        </a:xfrm>
        <a:noFill xmlns:a="http://schemas.openxmlformats.org/drawingml/2006/main"/>
      </cdr:grpSpPr>
      <cdr:sp macro="" textlink="">
        <cdr:nvSpPr>
          <cdr:cNvPr id="47106" name="AutoShape 2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10809799">
            <a:off x="918" y="51"/>
            <a:ext cx="174" cy="299"/>
          </a:xfrm>
          <a:prstGeom xmlns:a="http://schemas.openxmlformats.org/drawingml/2006/main" prst="rtTriangle">
            <a:avLst/>
          </a:prstGeom>
          <a:grpFill xmlns:a="http://schemas.openxmlformats.org/drawingml/2006/main"/>
          <a:ln xmlns:a="http://schemas.openxmlformats.org/drawingml/2006/main"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/>
          <a:lstStyle xmlns:a="http://schemas.openxmlformats.org/drawingml/2006/main"/>
          <a:p xmlns:a="http://schemas.openxmlformats.org/drawingml/2006/main">
            <a:endParaRPr lang="de-CH"/>
          </a:p>
        </cdr:txBody>
      </cdr:sp>
      <cdr:sp macro="" textlink="">
        <cdr:nvSpPr>
          <cdr:cNvPr id="47107" name="AutoShape 3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10790201" flipH="1">
            <a:off x="734" y="49"/>
            <a:ext cx="174" cy="299"/>
          </a:xfrm>
          <a:prstGeom xmlns:a="http://schemas.openxmlformats.org/drawingml/2006/main" prst="rtTriangle">
            <a:avLst/>
          </a:prstGeom>
          <a:grpFill xmlns:a="http://schemas.openxmlformats.org/drawingml/2006/main"/>
          <a:ln xmlns:a="http://schemas.openxmlformats.org/drawingml/2006/main"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/>
          <a:lstStyle xmlns:a="http://schemas.openxmlformats.org/drawingml/2006/main"/>
          <a:p xmlns:a="http://schemas.openxmlformats.org/drawingml/2006/main">
            <a:endParaRPr lang="de-CH"/>
          </a:p>
        </cdr:txBody>
      </cdr:sp>
    </cdr:grpSp>
  </cdr:relSizeAnchor>
  <cdr:relSizeAnchor xmlns:cdr="http://schemas.openxmlformats.org/drawingml/2006/chartDrawing">
    <cdr:from>
      <cdr:x>0.07638</cdr:x>
      <cdr:y>0.32387</cdr:y>
    </cdr:from>
    <cdr:to>
      <cdr:x>0.07638</cdr:x>
      <cdr:y>0.32387</cdr:y>
    </cdr:to>
    <cdr:sp macro="" textlink="">
      <cdr:nvSpPr>
        <cdr:cNvPr id="47108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7481" y="1045858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0.1158</cdr:x>
      <cdr:y>0.38889</cdr:y>
    </cdr:from>
    <cdr:to>
      <cdr:x>0.1158</cdr:x>
      <cdr:y>0.38889</cdr:y>
    </cdr:to>
    <cdr:sp macro="" textlink="">
      <cdr:nvSpPr>
        <cdr:cNvPr id="4710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0354" y="1255179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0.8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y</a:t>
          </a:r>
          <a:endParaRPr lang="da-DK"/>
        </a:p>
      </cdr:txBody>
    </cdr:sp>
  </cdr:relSizeAnchor>
  <cdr:relSizeAnchor xmlns:cdr="http://schemas.openxmlformats.org/drawingml/2006/chartDrawing">
    <cdr:from>
      <cdr:x>0.06683</cdr:x>
      <cdr:y>0.54707</cdr:y>
    </cdr:from>
    <cdr:to>
      <cdr:x>0.06683</cdr:x>
      <cdr:y>0.54707</cdr:y>
    </cdr:to>
    <cdr:sp macro="" textlink="">
      <cdr:nvSpPr>
        <cdr:cNvPr id="47110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3183" y="176442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1.7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x</a:t>
          </a:r>
          <a:endParaRPr lang="da-DK"/>
        </a:p>
      </cdr:txBody>
    </cdr:sp>
  </cdr:relSizeAnchor>
  <cdr:relSizeAnchor xmlns:cdr="http://schemas.openxmlformats.org/drawingml/2006/chartDrawing">
    <cdr:from>
      <cdr:x>0.52914</cdr:x>
      <cdr:y>0.71398</cdr:y>
    </cdr:from>
    <cdr:to>
      <cdr:x>0.52914</cdr:x>
      <cdr:y>0.71398</cdr:y>
    </cdr:to>
    <cdr:sp macro="" textlink="">
      <cdr:nvSpPr>
        <cdr:cNvPr id="47111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57679" y="2301786"/>
          <a:ext cx="0" cy="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S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12</a:t>
          </a:r>
        </a:p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12</a:t>
          </a:r>
        </a:p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A.3C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S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32</a:t>
          </a:r>
          <a:endParaRPr lang="da-DK"/>
        </a:p>
      </cdr:txBody>
    </cdr:sp>
  </cdr:relSizeAnchor>
  <cdr:relSizeAnchor xmlns:cdr="http://schemas.openxmlformats.org/drawingml/2006/chartDrawing">
    <cdr:from>
      <cdr:x>0.01418</cdr:x>
      <cdr:y>0.74697</cdr:y>
    </cdr:from>
    <cdr:to>
      <cdr:x>0.01418</cdr:x>
      <cdr:y>0.74697</cdr:y>
    </cdr:to>
    <cdr:sp macro="" textlink="">
      <cdr:nvSpPr>
        <cdr:cNvPr id="47112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974" y="2408009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CH</a:t>
          </a:r>
          <a:endParaRPr lang="da-DK"/>
        </a:p>
      </cdr:txBody>
    </cdr:sp>
  </cdr:relSizeAnchor>
  <cdr:relSizeAnchor xmlns:cdr="http://schemas.openxmlformats.org/drawingml/2006/chartDrawing">
    <cdr:from>
      <cdr:x>0.26762</cdr:x>
      <cdr:y>0.88938</cdr:y>
    </cdr:from>
    <cdr:to>
      <cdr:x>0.26762</cdr:x>
      <cdr:y>0.88938</cdr:y>
    </cdr:to>
    <cdr:sp macro="" textlink="">
      <cdr:nvSpPr>
        <cdr:cNvPr id="47113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4585" y="2866485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endParaRPr lang="da-DK"/>
        </a:p>
      </cdr:txBody>
    </cdr:sp>
  </cdr:relSizeAnchor>
  <cdr:relSizeAnchor xmlns:cdr="http://schemas.openxmlformats.org/drawingml/2006/chartDrawing">
    <cdr:from>
      <cdr:x>0.40793</cdr:x>
      <cdr:y>0.65672</cdr:y>
    </cdr:from>
    <cdr:to>
      <cdr:x>0.40793</cdr:x>
      <cdr:y>0.65672</cdr:y>
    </cdr:to>
    <cdr:sp macro="" textlink="">
      <cdr:nvSpPr>
        <cdr:cNvPr id="47116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95431" y="2117458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stratlingite</a:t>
          </a:r>
          <a:endParaRPr lang="da-DK"/>
        </a:p>
      </cdr:txBody>
    </cdr:sp>
  </cdr:relSizeAnchor>
  <cdr:relSizeAnchor xmlns:cdr="http://schemas.openxmlformats.org/drawingml/2006/chartDrawing">
    <cdr:from>
      <cdr:x>0.52914</cdr:x>
      <cdr:y>0.08199</cdr:y>
    </cdr:from>
    <cdr:to>
      <cdr:x>0.52914</cdr:x>
      <cdr:y>0.08199</cdr:y>
    </cdr:to>
    <cdr:sp macro="" textlink="">
      <cdr:nvSpPr>
        <cdr:cNvPr id="47117" name="Text Box 13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457679" y="26715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silica gel</a:t>
          </a:r>
          <a:endParaRPr lang="da-DK"/>
        </a:p>
      </cdr:txBody>
    </cdr:sp>
  </cdr:relSizeAnchor>
  <cdr:relSizeAnchor xmlns:cdr="http://schemas.openxmlformats.org/drawingml/2006/chartDrawing">
    <cdr:from>
      <cdr:x>0.89056</cdr:x>
      <cdr:y>0.8297</cdr:y>
    </cdr:from>
    <cdr:to>
      <cdr:x>0.89056</cdr:x>
      <cdr:y>0.8297</cdr:y>
    </cdr:to>
    <cdr:sp macro="" textlink="">
      <cdr:nvSpPr>
        <cdr:cNvPr id="47118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34203" y="2674347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gibsite</a:t>
          </a:r>
          <a:endParaRPr lang="da-DK"/>
        </a:p>
      </cdr:txBody>
    </cdr:sp>
  </cdr:relSizeAnchor>
  <cdr:relSizeAnchor xmlns:cdr="http://schemas.openxmlformats.org/drawingml/2006/chartDrawing">
    <cdr:from>
      <cdr:x>0.34037</cdr:x>
      <cdr:y>0.91123</cdr:y>
    </cdr:from>
    <cdr:to>
      <cdr:x>0.70055</cdr:x>
      <cdr:y>1</cdr:y>
    </cdr:to>
    <cdr:sp macro="" textlink="">
      <cdr:nvSpPr>
        <cdr:cNvPr id="47121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17045" y="3121138"/>
          <a:ext cx="1711103" cy="3040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AFt + 3 AFm or AFt + 2 AFm phases in presence of calcite plot here </a:t>
          </a:r>
          <a:endParaRPr lang="da-DK" i="1"/>
        </a:p>
      </cdr:txBody>
    </cdr:sp>
  </cdr:relSizeAnchor>
  <cdr:relSizeAnchor xmlns:cdr="http://schemas.openxmlformats.org/drawingml/2006/chartDrawing">
    <cdr:from>
      <cdr:x>0.76972</cdr:x>
      <cdr:y>0.80919</cdr:y>
    </cdr:from>
    <cdr:to>
      <cdr:x>0.92448</cdr:x>
      <cdr:y>0.86863</cdr:y>
    </cdr:to>
    <cdr:sp macro="" textlink="">
      <cdr:nvSpPr>
        <cdr:cNvPr id="47122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55443" y="2735618"/>
          <a:ext cx="734966" cy="20094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gibbsite</a:t>
          </a:r>
          <a:endParaRPr lang="da-DK"/>
        </a:p>
      </cdr:txBody>
    </cdr:sp>
  </cdr:relSizeAnchor>
  <cdr:relSizeAnchor xmlns:cdr="http://schemas.openxmlformats.org/drawingml/2006/chartDrawing">
    <cdr:from>
      <cdr:x>0.77376</cdr:x>
      <cdr:y>0.87905</cdr:y>
    </cdr:from>
    <cdr:to>
      <cdr:x>0.84918</cdr:x>
      <cdr:y>0.94965</cdr:y>
    </cdr:to>
    <cdr:sp macro="" textlink="">
      <cdr:nvSpPr>
        <cdr:cNvPr id="47123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80287" y="3038775"/>
          <a:ext cx="358727" cy="24405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75" b="0" i="0" u="none" strike="noStrike" baseline="0">
              <a:solidFill>
                <a:srgbClr val="000000"/>
              </a:solidFill>
              <a:latin typeface="Arial"/>
              <a:cs typeface="Arial"/>
            </a:rPr>
            <a:t>Al</a:t>
          </a:r>
          <a:r>
            <a:rPr lang="da-DK" sz="1075" b="0" i="0" u="none" strike="noStrike" baseline="-25000">
              <a:solidFill>
                <a:srgbClr val="000000"/>
              </a:solidFill>
              <a:latin typeface="Arial"/>
              <a:cs typeface="Arial"/>
            </a:rPr>
            <a:t>2</a:t>
          </a:r>
          <a:r>
            <a:rPr lang="da-DK" sz="1075" b="0" i="0" u="none" strike="noStrike" baseline="0">
              <a:solidFill>
                <a:srgbClr val="000000"/>
              </a:solidFill>
              <a:latin typeface="Arial"/>
              <a:cs typeface="Arial"/>
            </a:rPr>
            <a:t>O</a:t>
          </a:r>
          <a:r>
            <a:rPr lang="da-DK" sz="1075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endParaRPr lang="da-DK" baseline="-25000"/>
        </a:p>
      </cdr:txBody>
    </cdr:sp>
  </cdr:relSizeAnchor>
  <cdr:relSizeAnchor xmlns:cdr="http://schemas.openxmlformats.org/drawingml/2006/chartDrawing">
    <cdr:from>
      <cdr:x>0.01583</cdr:x>
      <cdr:y>0.84764</cdr:y>
    </cdr:from>
    <cdr:to>
      <cdr:x>0.09027</cdr:x>
      <cdr:y>0.91824</cdr:y>
    </cdr:to>
    <cdr:sp macro="" textlink="">
      <cdr:nvSpPr>
        <cdr:cNvPr id="47124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5138" y="2924324"/>
          <a:ext cx="353422" cy="2435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75" b="0" i="0" u="none" strike="noStrike" baseline="0">
              <a:solidFill>
                <a:srgbClr val="000000"/>
              </a:solidFill>
              <a:latin typeface="Arial"/>
              <a:cs typeface="Arial"/>
            </a:rPr>
            <a:t>CaO</a:t>
          </a:r>
          <a:endParaRPr lang="da-DK"/>
        </a:p>
      </cdr:txBody>
    </cdr:sp>
  </cdr:relSizeAnchor>
  <cdr:relSizeAnchor xmlns:cdr="http://schemas.openxmlformats.org/drawingml/2006/chartDrawing">
    <cdr:from>
      <cdr:x>0.40538</cdr:x>
      <cdr:y>0.03985</cdr:y>
    </cdr:from>
    <cdr:to>
      <cdr:x>0.47884</cdr:x>
      <cdr:y>0.11287</cdr:y>
    </cdr:to>
    <cdr:sp macro="" textlink="">
      <cdr:nvSpPr>
        <cdr:cNvPr id="47125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928136" y="137754"/>
          <a:ext cx="349405" cy="25242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75" b="0" i="0" u="none" strike="noStrike" baseline="0">
              <a:solidFill>
                <a:srgbClr val="000000"/>
              </a:solidFill>
              <a:latin typeface="Arial"/>
              <a:cs typeface="Arial"/>
            </a:rPr>
            <a:t>SiO</a:t>
          </a:r>
          <a:r>
            <a:rPr lang="da-DK" sz="1075" b="0" i="0" u="none" strike="noStrike" baseline="-25000">
              <a:solidFill>
                <a:srgbClr val="000000"/>
              </a:solidFill>
              <a:latin typeface="Arial"/>
              <a:cs typeface="Arial"/>
            </a:rPr>
            <a:t>2</a:t>
          </a:r>
          <a:endParaRPr lang="da-DK" baseline="-25000"/>
        </a:p>
      </cdr:txBody>
    </cdr:sp>
  </cdr:relSizeAnchor>
  <cdr:relSizeAnchor xmlns:cdr="http://schemas.openxmlformats.org/drawingml/2006/chartDrawing">
    <cdr:from>
      <cdr:x>0.43846</cdr:x>
      <cdr:y>0.68598</cdr:y>
    </cdr:from>
    <cdr:to>
      <cdr:x>0.59398</cdr:x>
      <cdr:y>0.74338</cdr:y>
    </cdr:to>
    <cdr:sp macro="" textlink="">
      <cdr:nvSpPr>
        <cdr:cNvPr id="22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082278" y="2319078"/>
          <a:ext cx="738587" cy="19405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strätlingite </a:t>
          </a:r>
          <a:endParaRPr lang="da-DK"/>
        </a:p>
      </cdr:txBody>
    </cdr:sp>
  </cdr:relSizeAnchor>
  <cdr:relSizeAnchor xmlns:cdr="http://schemas.openxmlformats.org/drawingml/2006/chartDrawing">
    <cdr:from>
      <cdr:x>0.46919</cdr:x>
      <cdr:y>0.31993</cdr:y>
    </cdr:from>
    <cdr:to>
      <cdr:x>0.56722</cdr:x>
      <cdr:y>0.36763</cdr:y>
    </cdr:to>
    <cdr:sp macro="" textlink="">
      <cdr:nvSpPr>
        <cdr:cNvPr id="23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28233" y="1081592"/>
          <a:ext cx="465552" cy="16125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stilbite </a:t>
          </a:r>
          <a:endParaRPr lang="da-DK"/>
        </a:p>
      </cdr:txBody>
    </cdr:sp>
  </cdr:relSizeAnchor>
  <cdr:relSizeAnchor xmlns:cdr="http://schemas.openxmlformats.org/drawingml/2006/chartDrawing">
    <cdr:from>
      <cdr:x>0.10771</cdr:x>
      <cdr:y>0.54472</cdr:y>
    </cdr:from>
    <cdr:to>
      <cdr:x>0.1917</cdr:x>
      <cdr:y>0.59882</cdr:y>
    </cdr:to>
    <cdr:sp macro="" textlink="">
      <cdr:nvSpPr>
        <cdr:cNvPr id="24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12323" y="1883048"/>
          <a:ext cx="399490" cy="1870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1.75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SH</a:t>
          </a:r>
          <a:endParaRPr lang="da-DK"/>
        </a:p>
      </cdr:txBody>
    </cdr:sp>
  </cdr:relSizeAnchor>
  <cdr:relSizeAnchor xmlns:cdr="http://schemas.openxmlformats.org/drawingml/2006/chartDrawing">
    <cdr:from>
      <cdr:x>0.21199</cdr:x>
      <cdr:y>0.35679</cdr:y>
    </cdr:from>
    <cdr:to>
      <cdr:x>0.29598</cdr:x>
      <cdr:y>0.41089</cdr:y>
    </cdr:to>
    <cdr:sp macro="" textlink="">
      <cdr:nvSpPr>
        <cdr:cNvPr id="25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08324" y="1233367"/>
          <a:ext cx="399490" cy="18701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0.67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SH</a:t>
          </a:r>
          <a:endParaRPr lang="da-DK"/>
        </a:p>
      </cdr:txBody>
    </cdr:sp>
  </cdr:relSizeAnchor>
  <cdr:relSizeAnchor xmlns:cdr="http://schemas.openxmlformats.org/drawingml/2006/chartDrawing">
    <cdr:from>
      <cdr:x>0.33669</cdr:x>
      <cdr:y>0.5122</cdr:y>
    </cdr:from>
    <cdr:to>
      <cdr:x>0.51913</cdr:x>
      <cdr:y>0.58836</cdr:y>
    </cdr:to>
    <cdr:sp macro="" textlink="">
      <cdr:nvSpPr>
        <cdr:cNvPr id="28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01427" y="1770604"/>
          <a:ext cx="867757" cy="2632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1.3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0.1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SH</a:t>
          </a:r>
          <a:endParaRPr lang="da-DK"/>
        </a:p>
      </cdr:txBody>
    </cdr:sp>
  </cdr:relSizeAnchor>
  <cdr:relSizeAnchor xmlns:cdr="http://schemas.openxmlformats.org/drawingml/2006/chartDrawing">
    <cdr:from>
      <cdr:x>0.0727</cdr:x>
      <cdr:y>0.89416</cdr:y>
    </cdr:from>
    <cdr:to>
      <cdr:x>0.22746</cdr:x>
      <cdr:y>0.9536</cdr:y>
    </cdr:to>
    <cdr:sp macro="" textlink="">
      <cdr:nvSpPr>
        <cdr:cNvPr id="30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6550" y="2870200"/>
          <a:ext cx="716407" cy="19079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portlandite</a:t>
          </a:r>
          <a:endParaRPr lang="da-DK"/>
        </a:p>
      </cdr:txBody>
    </cdr:sp>
  </cdr:relSizeAnchor>
  <cdr:relSizeAnchor xmlns:cdr="http://schemas.openxmlformats.org/drawingml/2006/chartDrawing">
    <cdr:from>
      <cdr:x>0.32931</cdr:x>
      <cdr:y>0.41921</cdr:y>
    </cdr:from>
    <cdr:to>
      <cdr:x>0.51175</cdr:x>
      <cdr:y>0.51788</cdr:y>
    </cdr:to>
    <cdr:sp macro="" textlink="">
      <cdr:nvSpPr>
        <cdr:cNvPr id="26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66319" y="1449169"/>
          <a:ext cx="867757" cy="34109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0.67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0.05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SH</a:t>
          </a:r>
          <a:endParaRPr lang="da-DK"/>
        </a:p>
      </cdr:txBody>
    </cdr:sp>
  </cdr:relSizeAnchor>
  <cdr:relSizeAnchor xmlns:cdr="http://schemas.openxmlformats.org/drawingml/2006/chartDrawing">
    <cdr:from>
      <cdr:x>0.11611</cdr:x>
      <cdr:y>0.10616</cdr:y>
    </cdr:from>
    <cdr:to>
      <cdr:x>0.18957</cdr:x>
      <cdr:y>0.17918</cdr:y>
    </cdr:to>
    <cdr:sp macro="" textlink="">
      <cdr:nvSpPr>
        <cdr:cNvPr id="29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50863" y="372268"/>
          <a:ext cx="348530" cy="2560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1075" b="1" i="0" u="none" strike="noStrike" baseline="0">
              <a:solidFill>
                <a:srgbClr val="000000"/>
              </a:solidFill>
              <a:latin typeface="Arial"/>
              <a:cs typeface="Arial"/>
            </a:rPr>
            <a:t>wt%</a:t>
          </a:r>
          <a:endParaRPr lang="da-DK" b="1"/>
        </a:p>
      </cdr:txBody>
    </cdr:sp>
  </cdr:relSizeAnchor>
  <cdr:relSizeAnchor xmlns:cdr="http://schemas.openxmlformats.org/drawingml/2006/chartDrawing">
    <cdr:from>
      <cdr:x>0.30565</cdr:x>
      <cdr:y>0.12485</cdr:y>
    </cdr:from>
    <cdr:to>
      <cdr:x>0.42682</cdr:x>
      <cdr:y>0.43162</cdr:y>
    </cdr:to>
    <cdr:sp macro="" textlink="">
      <cdr:nvSpPr>
        <cdr:cNvPr id="33" name="Freihandform 32"/>
        <cdr:cNvSpPr/>
      </cdr:nvSpPr>
      <cdr:spPr>
        <a:xfrm xmlns:a="http://schemas.openxmlformats.org/drawingml/2006/main">
          <a:off x="1453786" y="431585"/>
          <a:ext cx="576353" cy="1060476"/>
        </a:xfrm>
        <a:custGeom xmlns:a="http://schemas.openxmlformats.org/drawingml/2006/main">
          <a:avLst/>
          <a:gdLst>
            <a:gd name="connsiteX0" fmla="*/ 603250 w 686594"/>
            <a:gd name="connsiteY0" fmla="*/ 0 h 869157"/>
            <a:gd name="connsiteX1" fmla="*/ 686594 w 686594"/>
            <a:gd name="connsiteY1" fmla="*/ 35719 h 869157"/>
            <a:gd name="connsiteX2" fmla="*/ 0 w 686594"/>
            <a:gd name="connsiteY2" fmla="*/ 869157 h 869157"/>
            <a:gd name="connsiteX3" fmla="*/ 603250 w 686594"/>
            <a:gd name="connsiteY3" fmla="*/ 0 h 869157"/>
            <a:gd name="connsiteX0" fmla="*/ 615157 w 686594"/>
            <a:gd name="connsiteY0" fmla="*/ 0 h 857251"/>
            <a:gd name="connsiteX1" fmla="*/ 686594 w 686594"/>
            <a:gd name="connsiteY1" fmla="*/ 23813 h 857251"/>
            <a:gd name="connsiteX2" fmla="*/ 0 w 686594"/>
            <a:gd name="connsiteY2" fmla="*/ 857251 h 857251"/>
            <a:gd name="connsiteX3" fmla="*/ 615157 w 686594"/>
            <a:gd name="connsiteY3" fmla="*/ 0 h 857251"/>
            <a:gd name="connsiteX0" fmla="*/ 615157 w 615157"/>
            <a:gd name="connsiteY0" fmla="*/ 0 h 890816"/>
            <a:gd name="connsiteX1" fmla="*/ 591367 w 615157"/>
            <a:gd name="connsiteY1" fmla="*/ 890816 h 890816"/>
            <a:gd name="connsiteX2" fmla="*/ 0 w 615157"/>
            <a:gd name="connsiteY2" fmla="*/ 857251 h 890816"/>
            <a:gd name="connsiteX3" fmla="*/ 615157 w 615157"/>
            <a:gd name="connsiteY3" fmla="*/ 0 h 890816"/>
            <a:gd name="connsiteX0" fmla="*/ 1200124 w 1200124"/>
            <a:gd name="connsiteY0" fmla="*/ 0 h 997524"/>
            <a:gd name="connsiteX1" fmla="*/ 591367 w 1200124"/>
            <a:gd name="connsiteY1" fmla="*/ 997524 h 997524"/>
            <a:gd name="connsiteX2" fmla="*/ 0 w 1200124"/>
            <a:gd name="connsiteY2" fmla="*/ 963959 h 997524"/>
            <a:gd name="connsiteX3" fmla="*/ 1200124 w 1200124"/>
            <a:gd name="connsiteY3" fmla="*/ 0 h 997524"/>
            <a:gd name="connsiteX0" fmla="*/ 649166 w 649166"/>
            <a:gd name="connsiteY0" fmla="*/ 0 h 997524"/>
            <a:gd name="connsiteX1" fmla="*/ 40409 w 649166"/>
            <a:gd name="connsiteY1" fmla="*/ 997524 h 997524"/>
            <a:gd name="connsiteX2" fmla="*/ 0 w 649166"/>
            <a:gd name="connsiteY2" fmla="*/ 870589 h 997524"/>
            <a:gd name="connsiteX3" fmla="*/ 649166 w 649166"/>
            <a:gd name="connsiteY3" fmla="*/ 0 h 997524"/>
            <a:gd name="connsiteX0" fmla="*/ 683176 w 683176"/>
            <a:gd name="connsiteY0" fmla="*/ 0 h 1064217"/>
            <a:gd name="connsiteX1" fmla="*/ 40409 w 683176"/>
            <a:gd name="connsiteY1" fmla="*/ 1064217 h 1064217"/>
            <a:gd name="connsiteX2" fmla="*/ 0 w 683176"/>
            <a:gd name="connsiteY2" fmla="*/ 937282 h 1064217"/>
            <a:gd name="connsiteX3" fmla="*/ 683176 w 683176"/>
            <a:gd name="connsiteY3" fmla="*/ 0 h 1064217"/>
            <a:gd name="connsiteX0" fmla="*/ 683176 w 683176"/>
            <a:gd name="connsiteY0" fmla="*/ 0 h 1002428"/>
            <a:gd name="connsiteX1" fmla="*/ 205238 w 683176"/>
            <a:gd name="connsiteY1" fmla="*/ 1002428 h 1002428"/>
            <a:gd name="connsiteX2" fmla="*/ 0 w 683176"/>
            <a:gd name="connsiteY2" fmla="*/ 937282 h 1002428"/>
            <a:gd name="connsiteX3" fmla="*/ 683176 w 683176"/>
            <a:gd name="connsiteY3" fmla="*/ 0 h 1002428"/>
            <a:gd name="connsiteX0" fmla="*/ 657818 w 657818"/>
            <a:gd name="connsiteY0" fmla="*/ 0 h 1002428"/>
            <a:gd name="connsiteX1" fmla="*/ 179880 w 657818"/>
            <a:gd name="connsiteY1" fmla="*/ 1002428 h 1002428"/>
            <a:gd name="connsiteX2" fmla="*/ 0 w 657818"/>
            <a:gd name="connsiteY2" fmla="*/ 912567 h 1002428"/>
            <a:gd name="connsiteX3" fmla="*/ 657818 w 657818"/>
            <a:gd name="connsiteY3" fmla="*/ 0 h 1002428"/>
            <a:gd name="connsiteX0" fmla="*/ 657818 w 657818"/>
            <a:gd name="connsiteY0" fmla="*/ 0 h 973142"/>
            <a:gd name="connsiteX1" fmla="*/ 128596 w 657818"/>
            <a:gd name="connsiteY1" fmla="*/ 973142 h 973142"/>
            <a:gd name="connsiteX2" fmla="*/ 0 w 657818"/>
            <a:gd name="connsiteY2" fmla="*/ 912567 h 973142"/>
            <a:gd name="connsiteX3" fmla="*/ 657818 w 657818"/>
            <a:gd name="connsiteY3" fmla="*/ 0 h 973142"/>
            <a:gd name="connsiteX0" fmla="*/ 657818 w 657818"/>
            <a:gd name="connsiteY0" fmla="*/ 0 h 980463"/>
            <a:gd name="connsiteX1" fmla="*/ 106617 w 657818"/>
            <a:gd name="connsiteY1" fmla="*/ 980463 h 980463"/>
            <a:gd name="connsiteX2" fmla="*/ 0 w 657818"/>
            <a:gd name="connsiteY2" fmla="*/ 912567 h 980463"/>
            <a:gd name="connsiteX3" fmla="*/ 657818 w 657818"/>
            <a:gd name="connsiteY3" fmla="*/ 0 h 980463"/>
            <a:gd name="connsiteX0" fmla="*/ 575404 w 575404"/>
            <a:gd name="connsiteY0" fmla="*/ 0 h 1036311"/>
            <a:gd name="connsiteX1" fmla="*/ 106617 w 575404"/>
            <a:gd name="connsiteY1" fmla="*/ 1036311 h 1036311"/>
            <a:gd name="connsiteX2" fmla="*/ 0 w 575404"/>
            <a:gd name="connsiteY2" fmla="*/ 968415 h 1036311"/>
            <a:gd name="connsiteX3" fmla="*/ 575404 w 575404"/>
            <a:gd name="connsiteY3" fmla="*/ 0 h 103631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575404" h="1036311">
              <a:moveTo>
                <a:pt x="575404" y="0"/>
              </a:moveTo>
              <a:lnTo>
                <a:pt x="106617" y="1036311"/>
              </a:lnTo>
              <a:lnTo>
                <a:pt x="0" y="968415"/>
              </a:lnTo>
              <a:lnTo>
                <a:pt x="575404" y="0"/>
              </a:lnTo>
              <a:close/>
            </a:path>
          </a:pathLst>
        </a:custGeom>
        <a:solidFill xmlns:a="http://schemas.openxmlformats.org/drawingml/2006/main">
          <a:schemeClr val="accent1">
            <a:alpha val="23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0.26368</cdr:x>
      <cdr:y>0.59944</cdr:y>
    </cdr:from>
    <cdr:to>
      <cdr:x>0.44611</cdr:x>
      <cdr:y>0.6756</cdr:y>
    </cdr:to>
    <cdr:sp macro="" textlink="">
      <cdr:nvSpPr>
        <cdr:cNvPr id="27" name="Text Box 2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54143" y="2072212"/>
          <a:ext cx="867756" cy="26327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1.75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0.05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SH</a:t>
          </a:r>
          <a:endParaRPr lang="da-DK"/>
        </a:p>
      </cdr:txBody>
    </cdr:sp>
  </cdr:relSizeAnchor>
  <cdr:relSizeAnchor xmlns:cdr="http://schemas.openxmlformats.org/drawingml/2006/chartDrawing">
    <cdr:from>
      <cdr:x>0.65595</cdr:x>
      <cdr:y>0.0277</cdr:y>
    </cdr:from>
    <cdr:to>
      <cdr:x>0.84642</cdr:x>
      <cdr:y>0.08125</cdr:y>
    </cdr:to>
    <cdr:sp macro="" textlink="">
      <cdr:nvSpPr>
        <cdr:cNvPr id="35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19967" y="93133"/>
          <a:ext cx="905951" cy="1800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9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Excess phases:</a:t>
          </a:r>
        </a:p>
        <a:p xmlns:a="http://schemas.openxmlformats.org/drawingml/2006/main">
          <a:pPr algn="l" rtl="0">
            <a:defRPr sz="1000"/>
          </a:pPr>
          <a:r>
            <a:rPr lang="da-DK" sz="9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pore solution </a:t>
          </a:r>
        </a:p>
        <a:p xmlns:a="http://schemas.openxmlformats.org/drawingml/2006/main">
          <a:pPr algn="l" rtl="0">
            <a:defRPr sz="1000"/>
          </a:pPr>
          <a:r>
            <a:rPr lang="da-DK" sz="9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FH</a:t>
          </a:r>
        </a:p>
        <a:p xmlns:a="http://schemas.openxmlformats.org/drawingml/2006/main">
          <a:pPr algn="l" rtl="0">
            <a:defRPr sz="1000"/>
          </a:pPr>
          <a:r>
            <a:rPr lang="da-DK" sz="900" i="1">
              <a:latin typeface="Arial" panose="020B0604020202020204" pitchFamily="34" charset="0"/>
              <a:cs typeface="Arial" panose="020B0604020202020204" pitchFamily="34" charset="0"/>
            </a:rPr>
            <a:t>M</a:t>
          </a:r>
          <a:r>
            <a:rPr lang="da-DK" sz="900" i="1" baseline="-25000">
              <a:latin typeface="Arial" panose="020B0604020202020204" pitchFamily="34" charset="0"/>
              <a:cs typeface="Arial" panose="020B0604020202020204" pitchFamily="34" charset="0"/>
            </a:rPr>
            <a:t>4</a:t>
          </a:r>
          <a:r>
            <a:rPr lang="da-DK" sz="900" i="1">
              <a:latin typeface="Arial" panose="020B0604020202020204" pitchFamily="34" charset="0"/>
              <a:cs typeface="Arial" panose="020B0604020202020204" pitchFamily="34" charset="0"/>
            </a:rPr>
            <a:t>AH</a:t>
          </a:r>
          <a:r>
            <a:rPr lang="da-DK" sz="900" i="1" baseline="-25000">
              <a:latin typeface="Arial" panose="020B0604020202020204" pitchFamily="34" charset="0"/>
              <a:cs typeface="Arial" panose="020B0604020202020204" pitchFamily="34" charset="0"/>
            </a:rPr>
            <a:t>10</a:t>
          </a:r>
        </a:p>
        <a:p xmlns:a="http://schemas.openxmlformats.org/drawingml/2006/main">
          <a:pPr algn="l" rtl="0">
            <a:defRPr sz="1000"/>
          </a:pPr>
          <a:r>
            <a:rPr lang="da-DK" sz="900" i="1">
              <a:latin typeface="Arial" panose="020B0604020202020204" pitchFamily="34" charset="0"/>
              <a:cs typeface="Arial" panose="020B0604020202020204" pitchFamily="34" charset="0"/>
            </a:rPr>
            <a:t>(calcite)</a:t>
          </a:r>
        </a:p>
      </cdr:txBody>
    </cdr:sp>
  </cdr:relSizeAnchor>
  <cdr:relSizeAnchor xmlns:cdr="http://schemas.openxmlformats.org/drawingml/2006/chartDrawing">
    <cdr:from>
      <cdr:x>0.22562</cdr:x>
      <cdr:y>0.23859</cdr:y>
    </cdr:from>
    <cdr:to>
      <cdr:x>0.35553</cdr:x>
      <cdr:y>0.30305</cdr:y>
    </cdr:to>
    <cdr:sp macro="" textlink="">
      <cdr:nvSpPr>
        <cdr:cNvPr id="36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73131" y="824778"/>
          <a:ext cx="617903" cy="222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univariant</a:t>
          </a:r>
          <a:endParaRPr lang="da-DK" i="1"/>
        </a:p>
      </cdr:txBody>
    </cdr:sp>
  </cdr:relSizeAnchor>
  <cdr:relSizeAnchor xmlns:cdr="http://schemas.openxmlformats.org/drawingml/2006/chartDrawing">
    <cdr:from>
      <cdr:x>0.29057</cdr:x>
      <cdr:y>0.30305</cdr:y>
    </cdr:from>
    <cdr:to>
      <cdr:x>0.33243</cdr:x>
      <cdr:y>0.37289</cdr:y>
    </cdr:to>
    <cdr:cxnSp macro="">
      <cdr:nvCxnSpPr>
        <cdr:cNvPr id="4" name="Gerade Verbindung 3"/>
        <cdr:cNvCxnSpPr>
          <a:stCxn xmlns:a="http://schemas.openxmlformats.org/drawingml/2006/main" id="36" idx="2"/>
        </cdr:cNvCxnSpPr>
      </cdr:nvCxnSpPr>
      <cdr:spPr>
        <a:xfrm xmlns:a="http://schemas.openxmlformats.org/drawingml/2006/main">
          <a:off x="1382083" y="1047609"/>
          <a:ext cx="199067" cy="241441"/>
        </a:xfrm>
        <a:prstGeom xmlns:a="http://schemas.openxmlformats.org/drawingml/2006/main" prst="line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0.03869</cdr:x>
      <cdr:y>0.61556</cdr:y>
    </cdr:from>
    <cdr:to>
      <cdr:x>0.16859</cdr:x>
      <cdr:y>0.68002</cdr:y>
    </cdr:to>
    <cdr:sp macro="" textlink="">
      <cdr:nvSpPr>
        <cdr:cNvPr id="37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4022" y="2127911"/>
          <a:ext cx="617855" cy="222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invariant</a:t>
          </a:r>
          <a:endParaRPr lang="da-DK" i="1"/>
        </a:p>
      </cdr:txBody>
    </cdr:sp>
  </cdr:relSizeAnchor>
  <cdr:relSizeAnchor xmlns:cdr="http://schemas.openxmlformats.org/drawingml/2006/chartDrawing">
    <cdr:from>
      <cdr:x>0.12495</cdr:x>
      <cdr:y>0.65759</cdr:y>
    </cdr:from>
    <cdr:to>
      <cdr:x>0.16937</cdr:x>
      <cdr:y>0.73378</cdr:y>
    </cdr:to>
    <cdr:cxnSp macro="">
      <cdr:nvCxnSpPr>
        <cdr:cNvPr id="38" name="Gerade Verbindung 37"/>
        <cdr:cNvCxnSpPr/>
      </cdr:nvCxnSpPr>
      <cdr:spPr>
        <a:xfrm xmlns:a="http://schemas.openxmlformats.org/drawingml/2006/main">
          <a:off x="594307" y="2273212"/>
          <a:ext cx="211279" cy="263380"/>
        </a:xfrm>
        <a:prstGeom xmlns:a="http://schemas.openxmlformats.org/drawingml/2006/main" prst="line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0.12839</cdr:x>
      <cdr:y>0.40036</cdr:y>
    </cdr:from>
    <cdr:to>
      <cdr:x>0.2583</cdr:x>
      <cdr:y>0.46482</cdr:y>
    </cdr:to>
    <cdr:sp macro="" textlink="">
      <cdr:nvSpPr>
        <cdr:cNvPr id="40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10694" y="1383994"/>
          <a:ext cx="617903" cy="2228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divariant</a:t>
          </a:r>
          <a:endParaRPr lang="da-DK" i="1"/>
        </a:p>
      </cdr:txBody>
    </cdr:sp>
  </cdr:relSizeAnchor>
  <cdr:relSizeAnchor xmlns:cdr="http://schemas.openxmlformats.org/drawingml/2006/chartDrawing">
    <cdr:from>
      <cdr:x>0.24026</cdr:x>
      <cdr:y>0.60067</cdr:y>
    </cdr:from>
    <cdr:to>
      <cdr:x>0.26834</cdr:x>
      <cdr:y>0.6172</cdr:y>
    </cdr:to>
    <cdr:cxnSp macro="">
      <cdr:nvCxnSpPr>
        <cdr:cNvPr id="41" name="Gerade Verbindung 40"/>
        <cdr:cNvCxnSpPr>
          <a:endCxn xmlns:a="http://schemas.openxmlformats.org/drawingml/2006/main" id="31" idx="0"/>
        </cdr:cNvCxnSpPr>
      </cdr:nvCxnSpPr>
      <cdr:spPr>
        <a:xfrm xmlns:a="http://schemas.openxmlformats.org/drawingml/2006/main" flipH="1" flipV="1">
          <a:off x="1142790" y="2076460"/>
          <a:ext cx="133560" cy="57140"/>
        </a:xfrm>
        <a:prstGeom xmlns:a="http://schemas.openxmlformats.org/drawingml/2006/main" prst="line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0.22459</cdr:x>
      <cdr:y>0.41152</cdr:y>
    </cdr:from>
    <cdr:to>
      <cdr:x>0.32517</cdr:x>
      <cdr:y>0.6086</cdr:y>
    </cdr:to>
    <cdr:sp macro="" textlink="">
      <cdr:nvSpPr>
        <cdr:cNvPr id="39" name="Freihandform 38"/>
        <cdr:cNvSpPr/>
      </cdr:nvSpPr>
      <cdr:spPr>
        <a:xfrm xmlns:a="http://schemas.openxmlformats.org/drawingml/2006/main">
          <a:off x="1068235" y="1422567"/>
          <a:ext cx="478419" cy="681310"/>
        </a:xfrm>
        <a:custGeom xmlns:a="http://schemas.openxmlformats.org/drawingml/2006/main">
          <a:avLst/>
          <a:gdLst>
            <a:gd name="connsiteX0" fmla="*/ 0 w 482600"/>
            <a:gd name="connsiteY0" fmla="*/ 603250 h 641350"/>
            <a:gd name="connsiteX1" fmla="*/ 76200 w 482600"/>
            <a:gd name="connsiteY1" fmla="*/ 641350 h 641350"/>
            <a:gd name="connsiteX2" fmla="*/ 393700 w 482600"/>
            <a:gd name="connsiteY2" fmla="*/ 374650 h 641350"/>
            <a:gd name="connsiteX3" fmla="*/ 482600 w 482600"/>
            <a:gd name="connsiteY3" fmla="*/ 152400 h 641350"/>
            <a:gd name="connsiteX4" fmla="*/ 438150 w 482600"/>
            <a:gd name="connsiteY4" fmla="*/ 0 h 641350"/>
            <a:gd name="connsiteX5" fmla="*/ 0 w 482600"/>
            <a:gd name="connsiteY5" fmla="*/ 603250 h 641350"/>
            <a:gd name="connsiteX0" fmla="*/ 0 w 510021"/>
            <a:gd name="connsiteY0" fmla="*/ 611712 h 641350"/>
            <a:gd name="connsiteX1" fmla="*/ 103621 w 510021"/>
            <a:gd name="connsiteY1" fmla="*/ 641350 h 641350"/>
            <a:gd name="connsiteX2" fmla="*/ 421121 w 510021"/>
            <a:gd name="connsiteY2" fmla="*/ 374650 h 641350"/>
            <a:gd name="connsiteX3" fmla="*/ 510021 w 510021"/>
            <a:gd name="connsiteY3" fmla="*/ 152400 h 641350"/>
            <a:gd name="connsiteX4" fmla="*/ 465571 w 510021"/>
            <a:gd name="connsiteY4" fmla="*/ 0 h 641350"/>
            <a:gd name="connsiteX5" fmla="*/ 0 w 510021"/>
            <a:gd name="connsiteY5" fmla="*/ 611712 h 641350"/>
            <a:gd name="connsiteX0" fmla="*/ 0 w 510021"/>
            <a:gd name="connsiteY0" fmla="*/ 620174 h 649812"/>
            <a:gd name="connsiteX1" fmla="*/ 103621 w 510021"/>
            <a:gd name="connsiteY1" fmla="*/ 649812 h 649812"/>
            <a:gd name="connsiteX2" fmla="*/ 421121 w 510021"/>
            <a:gd name="connsiteY2" fmla="*/ 383112 h 649812"/>
            <a:gd name="connsiteX3" fmla="*/ 510021 w 510021"/>
            <a:gd name="connsiteY3" fmla="*/ 160862 h 649812"/>
            <a:gd name="connsiteX4" fmla="*/ 483852 w 510021"/>
            <a:gd name="connsiteY4" fmla="*/ 0 h 649812"/>
            <a:gd name="connsiteX5" fmla="*/ 0 w 510021"/>
            <a:gd name="connsiteY5" fmla="*/ 620174 h 649812"/>
            <a:gd name="connsiteX0" fmla="*/ 0 w 523732"/>
            <a:gd name="connsiteY0" fmla="*/ 620174 h 649812"/>
            <a:gd name="connsiteX1" fmla="*/ 103621 w 523732"/>
            <a:gd name="connsiteY1" fmla="*/ 649812 h 649812"/>
            <a:gd name="connsiteX2" fmla="*/ 421121 w 523732"/>
            <a:gd name="connsiteY2" fmla="*/ 383112 h 649812"/>
            <a:gd name="connsiteX3" fmla="*/ 523732 w 523732"/>
            <a:gd name="connsiteY3" fmla="*/ 122787 h 649812"/>
            <a:gd name="connsiteX4" fmla="*/ 483852 w 523732"/>
            <a:gd name="connsiteY4" fmla="*/ 0 h 649812"/>
            <a:gd name="connsiteX5" fmla="*/ 0 w 523732"/>
            <a:gd name="connsiteY5" fmla="*/ 620174 h 649812"/>
            <a:gd name="connsiteX0" fmla="*/ 0 w 523732"/>
            <a:gd name="connsiteY0" fmla="*/ 620174 h 649812"/>
            <a:gd name="connsiteX1" fmla="*/ 103621 w 523732"/>
            <a:gd name="connsiteY1" fmla="*/ 649812 h 649812"/>
            <a:gd name="connsiteX2" fmla="*/ 416551 w 523732"/>
            <a:gd name="connsiteY2" fmla="*/ 378882 h 649812"/>
            <a:gd name="connsiteX3" fmla="*/ 523732 w 523732"/>
            <a:gd name="connsiteY3" fmla="*/ 122787 h 649812"/>
            <a:gd name="connsiteX4" fmla="*/ 483852 w 523732"/>
            <a:gd name="connsiteY4" fmla="*/ 0 h 649812"/>
            <a:gd name="connsiteX5" fmla="*/ 0 w 523732"/>
            <a:gd name="connsiteY5" fmla="*/ 620174 h 649812"/>
            <a:gd name="connsiteX0" fmla="*/ 0 w 523732"/>
            <a:gd name="connsiteY0" fmla="*/ 620174 h 641350"/>
            <a:gd name="connsiteX1" fmla="*/ 89910 w 523732"/>
            <a:gd name="connsiteY1" fmla="*/ 641350 h 641350"/>
            <a:gd name="connsiteX2" fmla="*/ 416551 w 523732"/>
            <a:gd name="connsiteY2" fmla="*/ 378882 h 641350"/>
            <a:gd name="connsiteX3" fmla="*/ 523732 w 523732"/>
            <a:gd name="connsiteY3" fmla="*/ 122787 h 641350"/>
            <a:gd name="connsiteX4" fmla="*/ 483852 w 523732"/>
            <a:gd name="connsiteY4" fmla="*/ 0 h 641350"/>
            <a:gd name="connsiteX5" fmla="*/ 0 w 523732"/>
            <a:gd name="connsiteY5" fmla="*/ 620174 h 641350"/>
            <a:gd name="connsiteX0" fmla="*/ 0 w 523732"/>
            <a:gd name="connsiteY0" fmla="*/ 620174 h 641350"/>
            <a:gd name="connsiteX1" fmla="*/ 89910 w 523732"/>
            <a:gd name="connsiteY1" fmla="*/ 641350 h 641350"/>
            <a:gd name="connsiteX2" fmla="*/ 402841 w 523732"/>
            <a:gd name="connsiteY2" fmla="*/ 378882 h 641350"/>
            <a:gd name="connsiteX3" fmla="*/ 523732 w 523732"/>
            <a:gd name="connsiteY3" fmla="*/ 122787 h 641350"/>
            <a:gd name="connsiteX4" fmla="*/ 483852 w 523732"/>
            <a:gd name="connsiteY4" fmla="*/ 0 h 641350"/>
            <a:gd name="connsiteX5" fmla="*/ 0 w 523732"/>
            <a:gd name="connsiteY5" fmla="*/ 620174 h 641350"/>
            <a:gd name="connsiteX0" fmla="*/ 0 w 523732"/>
            <a:gd name="connsiteY0" fmla="*/ 620174 h 637119"/>
            <a:gd name="connsiteX1" fmla="*/ 80770 w 523732"/>
            <a:gd name="connsiteY1" fmla="*/ 637119 h 637119"/>
            <a:gd name="connsiteX2" fmla="*/ 402841 w 523732"/>
            <a:gd name="connsiteY2" fmla="*/ 378882 h 637119"/>
            <a:gd name="connsiteX3" fmla="*/ 523732 w 523732"/>
            <a:gd name="connsiteY3" fmla="*/ 122787 h 637119"/>
            <a:gd name="connsiteX4" fmla="*/ 483852 w 523732"/>
            <a:gd name="connsiteY4" fmla="*/ 0 h 637119"/>
            <a:gd name="connsiteX5" fmla="*/ 0 w 523732"/>
            <a:gd name="connsiteY5" fmla="*/ 620174 h 637119"/>
            <a:gd name="connsiteX0" fmla="*/ 0 w 523732"/>
            <a:gd name="connsiteY0" fmla="*/ 624405 h 641350"/>
            <a:gd name="connsiteX1" fmla="*/ 80770 w 523732"/>
            <a:gd name="connsiteY1" fmla="*/ 641350 h 641350"/>
            <a:gd name="connsiteX2" fmla="*/ 402841 w 523732"/>
            <a:gd name="connsiteY2" fmla="*/ 383113 h 641350"/>
            <a:gd name="connsiteX3" fmla="*/ 523732 w 523732"/>
            <a:gd name="connsiteY3" fmla="*/ 127018 h 641350"/>
            <a:gd name="connsiteX4" fmla="*/ 465571 w 523732"/>
            <a:gd name="connsiteY4" fmla="*/ 0 h 641350"/>
            <a:gd name="connsiteX5" fmla="*/ 0 w 523732"/>
            <a:gd name="connsiteY5" fmla="*/ 624405 h 641350"/>
            <a:gd name="connsiteX0" fmla="*/ 0 w 523732"/>
            <a:gd name="connsiteY0" fmla="*/ 628636 h 645581"/>
            <a:gd name="connsiteX1" fmla="*/ 80770 w 523732"/>
            <a:gd name="connsiteY1" fmla="*/ 645581 h 645581"/>
            <a:gd name="connsiteX2" fmla="*/ 402841 w 523732"/>
            <a:gd name="connsiteY2" fmla="*/ 387344 h 645581"/>
            <a:gd name="connsiteX3" fmla="*/ 523732 w 523732"/>
            <a:gd name="connsiteY3" fmla="*/ 131249 h 645581"/>
            <a:gd name="connsiteX4" fmla="*/ 474712 w 523732"/>
            <a:gd name="connsiteY4" fmla="*/ 0 h 645581"/>
            <a:gd name="connsiteX5" fmla="*/ 0 w 523732"/>
            <a:gd name="connsiteY5" fmla="*/ 628636 h 645581"/>
            <a:gd name="connsiteX0" fmla="*/ 0 w 506880"/>
            <a:gd name="connsiteY0" fmla="*/ 597045 h 645581"/>
            <a:gd name="connsiteX1" fmla="*/ 63918 w 506880"/>
            <a:gd name="connsiteY1" fmla="*/ 645581 h 645581"/>
            <a:gd name="connsiteX2" fmla="*/ 385989 w 506880"/>
            <a:gd name="connsiteY2" fmla="*/ 387344 h 645581"/>
            <a:gd name="connsiteX3" fmla="*/ 506880 w 506880"/>
            <a:gd name="connsiteY3" fmla="*/ 131249 h 645581"/>
            <a:gd name="connsiteX4" fmla="*/ 457860 w 506880"/>
            <a:gd name="connsiteY4" fmla="*/ 0 h 645581"/>
            <a:gd name="connsiteX5" fmla="*/ 0 w 506880"/>
            <a:gd name="connsiteY5" fmla="*/ 597045 h 645581"/>
            <a:gd name="connsiteX0" fmla="*/ 0 w 532644"/>
            <a:gd name="connsiteY0" fmla="*/ 615034 h 645581"/>
            <a:gd name="connsiteX1" fmla="*/ 89682 w 532644"/>
            <a:gd name="connsiteY1" fmla="*/ 645581 h 645581"/>
            <a:gd name="connsiteX2" fmla="*/ 411753 w 532644"/>
            <a:gd name="connsiteY2" fmla="*/ 387344 h 645581"/>
            <a:gd name="connsiteX3" fmla="*/ 532644 w 532644"/>
            <a:gd name="connsiteY3" fmla="*/ 131249 h 645581"/>
            <a:gd name="connsiteX4" fmla="*/ 483624 w 532644"/>
            <a:gd name="connsiteY4" fmla="*/ 0 h 645581"/>
            <a:gd name="connsiteX5" fmla="*/ 0 w 532644"/>
            <a:gd name="connsiteY5" fmla="*/ 615034 h 645581"/>
            <a:gd name="connsiteX0" fmla="*/ 0 w 541953"/>
            <a:gd name="connsiteY0" fmla="*/ 695489 h 726036"/>
            <a:gd name="connsiteX1" fmla="*/ 89682 w 541953"/>
            <a:gd name="connsiteY1" fmla="*/ 726036 h 726036"/>
            <a:gd name="connsiteX2" fmla="*/ 411753 w 541953"/>
            <a:gd name="connsiteY2" fmla="*/ 467799 h 726036"/>
            <a:gd name="connsiteX3" fmla="*/ 532644 w 541953"/>
            <a:gd name="connsiteY3" fmla="*/ 211704 h 726036"/>
            <a:gd name="connsiteX4" fmla="*/ 541953 w 541953"/>
            <a:gd name="connsiteY4" fmla="*/ 0 h 726036"/>
            <a:gd name="connsiteX5" fmla="*/ 0 w 541953"/>
            <a:gd name="connsiteY5" fmla="*/ 695489 h 726036"/>
            <a:gd name="connsiteX0" fmla="*/ 0 w 736796"/>
            <a:gd name="connsiteY0" fmla="*/ 695489 h 726036"/>
            <a:gd name="connsiteX1" fmla="*/ 89682 w 736796"/>
            <a:gd name="connsiteY1" fmla="*/ 726036 h 726036"/>
            <a:gd name="connsiteX2" fmla="*/ 411753 w 736796"/>
            <a:gd name="connsiteY2" fmla="*/ 467799 h 726036"/>
            <a:gd name="connsiteX3" fmla="*/ 736796 w 736796"/>
            <a:gd name="connsiteY3" fmla="*/ 151362 h 726036"/>
            <a:gd name="connsiteX4" fmla="*/ 541953 w 736796"/>
            <a:gd name="connsiteY4" fmla="*/ 0 h 726036"/>
            <a:gd name="connsiteX5" fmla="*/ 0 w 736796"/>
            <a:gd name="connsiteY5" fmla="*/ 695489 h 726036"/>
            <a:gd name="connsiteX0" fmla="*/ 0 w 736796"/>
            <a:gd name="connsiteY0" fmla="*/ 695489 h 726036"/>
            <a:gd name="connsiteX1" fmla="*/ 89682 w 736796"/>
            <a:gd name="connsiteY1" fmla="*/ 726036 h 726036"/>
            <a:gd name="connsiteX2" fmla="*/ 557575 w 736796"/>
            <a:gd name="connsiteY2" fmla="*/ 615300 h 726036"/>
            <a:gd name="connsiteX3" fmla="*/ 736796 w 736796"/>
            <a:gd name="connsiteY3" fmla="*/ 151362 h 726036"/>
            <a:gd name="connsiteX4" fmla="*/ 541953 w 736796"/>
            <a:gd name="connsiteY4" fmla="*/ 0 h 726036"/>
            <a:gd name="connsiteX5" fmla="*/ 0 w 736796"/>
            <a:gd name="connsiteY5" fmla="*/ 695489 h 726036"/>
            <a:gd name="connsiteX0" fmla="*/ 0 w 736796"/>
            <a:gd name="connsiteY0" fmla="*/ 695489 h 772968"/>
            <a:gd name="connsiteX1" fmla="*/ 169885 w 736796"/>
            <a:gd name="connsiteY1" fmla="*/ 772968 h 772968"/>
            <a:gd name="connsiteX2" fmla="*/ 557575 w 736796"/>
            <a:gd name="connsiteY2" fmla="*/ 615300 h 772968"/>
            <a:gd name="connsiteX3" fmla="*/ 736796 w 736796"/>
            <a:gd name="connsiteY3" fmla="*/ 151362 h 772968"/>
            <a:gd name="connsiteX4" fmla="*/ 541953 w 736796"/>
            <a:gd name="connsiteY4" fmla="*/ 0 h 772968"/>
            <a:gd name="connsiteX5" fmla="*/ 0 w 736796"/>
            <a:gd name="connsiteY5" fmla="*/ 695489 h 772968"/>
            <a:gd name="connsiteX0" fmla="*/ 0 w 736796"/>
            <a:gd name="connsiteY0" fmla="*/ 695489 h 746150"/>
            <a:gd name="connsiteX1" fmla="*/ 155302 w 736796"/>
            <a:gd name="connsiteY1" fmla="*/ 746150 h 746150"/>
            <a:gd name="connsiteX2" fmla="*/ 557575 w 736796"/>
            <a:gd name="connsiteY2" fmla="*/ 615300 h 746150"/>
            <a:gd name="connsiteX3" fmla="*/ 736796 w 736796"/>
            <a:gd name="connsiteY3" fmla="*/ 151362 h 746150"/>
            <a:gd name="connsiteX4" fmla="*/ 541953 w 736796"/>
            <a:gd name="connsiteY4" fmla="*/ 0 h 746150"/>
            <a:gd name="connsiteX5" fmla="*/ 0 w 736796"/>
            <a:gd name="connsiteY5" fmla="*/ 695489 h 746150"/>
            <a:gd name="connsiteX0" fmla="*/ 0 w 736796"/>
            <a:gd name="connsiteY0" fmla="*/ 695489 h 746150"/>
            <a:gd name="connsiteX1" fmla="*/ 155302 w 736796"/>
            <a:gd name="connsiteY1" fmla="*/ 746150 h 746150"/>
            <a:gd name="connsiteX2" fmla="*/ 550284 w 736796"/>
            <a:gd name="connsiteY2" fmla="*/ 628710 h 746150"/>
            <a:gd name="connsiteX3" fmla="*/ 736796 w 736796"/>
            <a:gd name="connsiteY3" fmla="*/ 151362 h 746150"/>
            <a:gd name="connsiteX4" fmla="*/ 541953 w 736796"/>
            <a:gd name="connsiteY4" fmla="*/ 0 h 746150"/>
            <a:gd name="connsiteX5" fmla="*/ 0 w 736796"/>
            <a:gd name="connsiteY5" fmla="*/ 695489 h 746150"/>
            <a:gd name="connsiteX0" fmla="*/ 0 w 736796"/>
            <a:gd name="connsiteY0" fmla="*/ 668671 h 719332"/>
            <a:gd name="connsiteX1" fmla="*/ 155302 w 736796"/>
            <a:gd name="connsiteY1" fmla="*/ 719332 h 719332"/>
            <a:gd name="connsiteX2" fmla="*/ 550284 w 736796"/>
            <a:gd name="connsiteY2" fmla="*/ 601892 h 719332"/>
            <a:gd name="connsiteX3" fmla="*/ 736796 w 736796"/>
            <a:gd name="connsiteY3" fmla="*/ 124544 h 719332"/>
            <a:gd name="connsiteX4" fmla="*/ 512788 w 736796"/>
            <a:gd name="connsiteY4" fmla="*/ 0 h 719332"/>
            <a:gd name="connsiteX5" fmla="*/ 0 w 736796"/>
            <a:gd name="connsiteY5" fmla="*/ 668671 h 719332"/>
            <a:gd name="connsiteX0" fmla="*/ 0 w 644111"/>
            <a:gd name="connsiteY0" fmla="*/ 668671 h 719332"/>
            <a:gd name="connsiteX1" fmla="*/ 155302 w 644111"/>
            <a:gd name="connsiteY1" fmla="*/ 719332 h 719332"/>
            <a:gd name="connsiteX2" fmla="*/ 550284 w 644111"/>
            <a:gd name="connsiteY2" fmla="*/ 601892 h 719332"/>
            <a:gd name="connsiteX3" fmla="*/ 644111 w 644111"/>
            <a:gd name="connsiteY3" fmla="*/ 84822 h 719332"/>
            <a:gd name="connsiteX4" fmla="*/ 512788 w 644111"/>
            <a:gd name="connsiteY4" fmla="*/ 0 h 719332"/>
            <a:gd name="connsiteX5" fmla="*/ 0 w 644111"/>
            <a:gd name="connsiteY5" fmla="*/ 668671 h 719332"/>
            <a:gd name="connsiteX0" fmla="*/ 0 w 644111"/>
            <a:gd name="connsiteY0" fmla="*/ 668671 h 719332"/>
            <a:gd name="connsiteX1" fmla="*/ 155302 w 644111"/>
            <a:gd name="connsiteY1" fmla="*/ 719332 h 719332"/>
            <a:gd name="connsiteX2" fmla="*/ 415469 w 644111"/>
            <a:gd name="connsiteY2" fmla="*/ 530392 h 719332"/>
            <a:gd name="connsiteX3" fmla="*/ 644111 w 644111"/>
            <a:gd name="connsiteY3" fmla="*/ 84822 h 719332"/>
            <a:gd name="connsiteX4" fmla="*/ 512788 w 644111"/>
            <a:gd name="connsiteY4" fmla="*/ 0 h 719332"/>
            <a:gd name="connsiteX5" fmla="*/ 0 w 644111"/>
            <a:gd name="connsiteY5" fmla="*/ 668671 h 719332"/>
            <a:gd name="connsiteX0" fmla="*/ 0 w 644111"/>
            <a:gd name="connsiteY0" fmla="*/ 668671 h 695499"/>
            <a:gd name="connsiteX1" fmla="*/ 113172 w 644111"/>
            <a:gd name="connsiteY1" fmla="*/ 695499 h 695499"/>
            <a:gd name="connsiteX2" fmla="*/ 415469 w 644111"/>
            <a:gd name="connsiteY2" fmla="*/ 530392 h 695499"/>
            <a:gd name="connsiteX3" fmla="*/ 644111 w 644111"/>
            <a:gd name="connsiteY3" fmla="*/ 84822 h 695499"/>
            <a:gd name="connsiteX4" fmla="*/ 512788 w 644111"/>
            <a:gd name="connsiteY4" fmla="*/ 0 h 695499"/>
            <a:gd name="connsiteX5" fmla="*/ 0 w 644111"/>
            <a:gd name="connsiteY5" fmla="*/ 668671 h 695499"/>
            <a:gd name="connsiteX0" fmla="*/ 0 w 644111"/>
            <a:gd name="connsiteY0" fmla="*/ 668671 h 695499"/>
            <a:gd name="connsiteX1" fmla="*/ 113172 w 644111"/>
            <a:gd name="connsiteY1" fmla="*/ 695499 h 695499"/>
            <a:gd name="connsiteX2" fmla="*/ 415469 w 644111"/>
            <a:gd name="connsiteY2" fmla="*/ 530392 h 695499"/>
            <a:gd name="connsiteX3" fmla="*/ 644111 w 644111"/>
            <a:gd name="connsiteY3" fmla="*/ 92767 h 695499"/>
            <a:gd name="connsiteX4" fmla="*/ 512788 w 644111"/>
            <a:gd name="connsiteY4" fmla="*/ 0 h 695499"/>
            <a:gd name="connsiteX5" fmla="*/ 0 w 644111"/>
            <a:gd name="connsiteY5" fmla="*/ 668671 h 695499"/>
            <a:gd name="connsiteX0" fmla="*/ 0 w 644111"/>
            <a:gd name="connsiteY0" fmla="*/ 668671 h 695499"/>
            <a:gd name="connsiteX1" fmla="*/ 113172 w 644111"/>
            <a:gd name="connsiteY1" fmla="*/ 695499 h 695499"/>
            <a:gd name="connsiteX2" fmla="*/ 415469 w 644111"/>
            <a:gd name="connsiteY2" fmla="*/ 530392 h 695499"/>
            <a:gd name="connsiteX3" fmla="*/ 644111 w 644111"/>
            <a:gd name="connsiteY3" fmla="*/ 92767 h 695499"/>
            <a:gd name="connsiteX4" fmla="*/ 410712 w 644111"/>
            <a:gd name="connsiteY4" fmla="*/ 0 h 695499"/>
            <a:gd name="connsiteX5" fmla="*/ 0 w 644111"/>
            <a:gd name="connsiteY5" fmla="*/ 668671 h 695499"/>
            <a:gd name="connsiteX0" fmla="*/ 0 w 527453"/>
            <a:gd name="connsiteY0" fmla="*/ 668671 h 695499"/>
            <a:gd name="connsiteX1" fmla="*/ 113172 w 527453"/>
            <a:gd name="connsiteY1" fmla="*/ 695499 h 695499"/>
            <a:gd name="connsiteX2" fmla="*/ 415469 w 527453"/>
            <a:gd name="connsiteY2" fmla="*/ 530392 h 695499"/>
            <a:gd name="connsiteX3" fmla="*/ 527453 w 527453"/>
            <a:gd name="connsiteY3" fmla="*/ 79301 h 695499"/>
            <a:gd name="connsiteX4" fmla="*/ 410712 w 527453"/>
            <a:gd name="connsiteY4" fmla="*/ 0 h 695499"/>
            <a:gd name="connsiteX5" fmla="*/ 0 w 527453"/>
            <a:gd name="connsiteY5" fmla="*/ 668671 h 695499"/>
            <a:gd name="connsiteX0" fmla="*/ 0 w 527453"/>
            <a:gd name="connsiteY0" fmla="*/ 668671 h 695499"/>
            <a:gd name="connsiteX1" fmla="*/ 113172 w 527453"/>
            <a:gd name="connsiteY1" fmla="*/ 695499 h 695499"/>
            <a:gd name="connsiteX2" fmla="*/ 335266 w 527453"/>
            <a:gd name="connsiteY2" fmla="*/ 543858 h 695499"/>
            <a:gd name="connsiteX3" fmla="*/ 527453 w 527453"/>
            <a:gd name="connsiteY3" fmla="*/ 79301 h 695499"/>
            <a:gd name="connsiteX4" fmla="*/ 410712 w 527453"/>
            <a:gd name="connsiteY4" fmla="*/ 0 h 695499"/>
            <a:gd name="connsiteX5" fmla="*/ 0 w 527453"/>
            <a:gd name="connsiteY5" fmla="*/ 668671 h 695499"/>
            <a:gd name="connsiteX0" fmla="*/ 0 w 549326"/>
            <a:gd name="connsiteY0" fmla="*/ 655204 h 695499"/>
            <a:gd name="connsiteX1" fmla="*/ 135045 w 549326"/>
            <a:gd name="connsiteY1" fmla="*/ 695499 h 695499"/>
            <a:gd name="connsiteX2" fmla="*/ 357139 w 549326"/>
            <a:gd name="connsiteY2" fmla="*/ 543858 h 695499"/>
            <a:gd name="connsiteX3" fmla="*/ 549326 w 549326"/>
            <a:gd name="connsiteY3" fmla="*/ 79301 h 695499"/>
            <a:gd name="connsiteX4" fmla="*/ 432585 w 549326"/>
            <a:gd name="connsiteY4" fmla="*/ 0 h 695499"/>
            <a:gd name="connsiteX5" fmla="*/ 0 w 549326"/>
            <a:gd name="connsiteY5" fmla="*/ 655204 h 695499"/>
            <a:gd name="connsiteX0" fmla="*/ 0 w 549326"/>
            <a:gd name="connsiteY0" fmla="*/ 655204 h 722432"/>
            <a:gd name="connsiteX1" fmla="*/ 91298 w 549326"/>
            <a:gd name="connsiteY1" fmla="*/ 722432 h 722432"/>
            <a:gd name="connsiteX2" fmla="*/ 357139 w 549326"/>
            <a:gd name="connsiteY2" fmla="*/ 543858 h 722432"/>
            <a:gd name="connsiteX3" fmla="*/ 549326 w 549326"/>
            <a:gd name="connsiteY3" fmla="*/ 79301 h 722432"/>
            <a:gd name="connsiteX4" fmla="*/ 432585 w 549326"/>
            <a:gd name="connsiteY4" fmla="*/ 0 h 722432"/>
            <a:gd name="connsiteX5" fmla="*/ 0 w 549326"/>
            <a:gd name="connsiteY5" fmla="*/ 655204 h 72243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</a:cxnLst>
          <a:rect l="l" t="t" r="r" b="b"/>
          <a:pathLst>
            <a:path w="549326" h="722432">
              <a:moveTo>
                <a:pt x="0" y="655204"/>
              </a:moveTo>
              <a:lnTo>
                <a:pt x="91298" y="722432"/>
              </a:lnTo>
              <a:lnTo>
                <a:pt x="357139" y="543858"/>
              </a:lnTo>
              <a:lnTo>
                <a:pt x="549326" y="79301"/>
              </a:lnTo>
              <a:lnTo>
                <a:pt x="432585" y="0"/>
              </a:lnTo>
              <a:lnTo>
                <a:pt x="0" y="655204"/>
              </a:lnTo>
              <a:close/>
            </a:path>
          </a:pathLst>
        </a:custGeom>
        <a:solidFill xmlns:a="http://schemas.openxmlformats.org/drawingml/2006/main">
          <a:schemeClr val="tx2">
            <a:alpha val="46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de-CH" sz="1100"/>
        </a:p>
      </cdr:txBody>
    </cdr:sp>
  </cdr:relSizeAnchor>
  <cdr:relSizeAnchor xmlns:cdr="http://schemas.openxmlformats.org/drawingml/2006/chartDrawing">
    <cdr:from>
      <cdr:x>0.34852</cdr:x>
      <cdr:y>0.88043</cdr:y>
    </cdr:from>
    <cdr:to>
      <cdr:x>0.36007</cdr:x>
      <cdr:y>0.91584</cdr:y>
    </cdr:to>
    <cdr:cxnSp macro="">
      <cdr:nvCxnSpPr>
        <cdr:cNvPr id="6" name="Gerade Verbindung mit Pfeil 5"/>
        <cdr:cNvCxnSpPr>
          <a:endCxn xmlns:a="http://schemas.openxmlformats.org/drawingml/2006/main" id="31" idx="2"/>
        </cdr:cNvCxnSpPr>
      </cdr:nvCxnSpPr>
      <cdr:spPr>
        <a:xfrm xmlns:a="http://schemas.openxmlformats.org/drawingml/2006/main" flipH="1" flipV="1">
          <a:off x="1657691" y="3043533"/>
          <a:ext cx="54940" cy="122432"/>
        </a:xfrm>
        <a:prstGeom xmlns:a="http://schemas.openxmlformats.org/drawingml/2006/main" prst="straightConnector1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0.19759</cdr:x>
      <cdr:y>0.57679</cdr:y>
    </cdr:from>
    <cdr:to>
      <cdr:x>0.22473</cdr:x>
      <cdr:y>0.59318</cdr:y>
    </cdr:to>
    <cdr:cxnSp macro="">
      <cdr:nvCxnSpPr>
        <cdr:cNvPr id="43" name="Gerade Verbindung 42"/>
        <cdr:cNvCxnSpPr>
          <a:endCxn xmlns:a="http://schemas.openxmlformats.org/drawingml/2006/main" id="2" idx="0"/>
        </cdr:cNvCxnSpPr>
      </cdr:nvCxnSpPr>
      <cdr:spPr>
        <a:xfrm xmlns:a="http://schemas.openxmlformats.org/drawingml/2006/main">
          <a:off x="939800" y="1993900"/>
          <a:ext cx="129090" cy="56666"/>
        </a:xfrm>
        <a:prstGeom xmlns:a="http://schemas.openxmlformats.org/drawingml/2006/main" prst="line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0.22562</cdr:x>
      <cdr:y>0.44821</cdr:y>
    </cdr:from>
    <cdr:to>
      <cdr:x>0.27004</cdr:x>
      <cdr:y>0.5244</cdr:y>
    </cdr:to>
    <cdr:cxnSp macro="">
      <cdr:nvCxnSpPr>
        <cdr:cNvPr id="46" name="Gerade Verbindung 45"/>
        <cdr:cNvCxnSpPr/>
      </cdr:nvCxnSpPr>
      <cdr:spPr>
        <a:xfrm xmlns:a="http://schemas.openxmlformats.org/drawingml/2006/main">
          <a:off x="1073150" y="1549400"/>
          <a:ext cx="211279" cy="263380"/>
        </a:xfrm>
        <a:prstGeom xmlns:a="http://schemas.openxmlformats.org/drawingml/2006/main" prst="line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0.2914</cdr:x>
      <cdr:y>0.54005</cdr:y>
    </cdr:from>
    <cdr:to>
      <cdr:x>0.33643</cdr:x>
      <cdr:y>0.56114</cdr:y>
    </cdr:to>
    <cdr:cxnSp macro="">
      <cdr:nvCxnSpPr>
        <cdr:cNvPr id="48" name="Gerade Verbindung 47"/>
        <cdr:cNvCxnSpPr/>
      </cdr:nvCxnSpPr>
      <cdr:spPr>
        <a:xfrm xmlns:a="http://schemas.openxmlformats.org/drawingml/2006/main" flipH="1">
          <a:off x="1386029" y="1866900"/>
          <a:ext cx="214171" cy="72880"/>
        </a:xfrm>
        <a:prstGeom xmlns:a="http://schemas.openxmlformats.org/drawingml/2006/main" prst="line">
          <a:avLst/>
        </a:prstGeom>
        <a:ln xmlns:a="http://schemas.openxmlformats.org/drawingml/2006/main">
          <a:headEnd type="none" w="med" len="med"/>
          <a:tailEnd type="triangle" w="med" len="med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0.51337</cdr:x>
      <cdr:y>0.08689</cdr:y>
    </cdr:from>
    <cdr:to>
      <cdr:x>0.91063</cdr:x>
      <cdr:y>0.87272</cdr:y>
    </cdr:to>
    <cdr:grpSp>
      <cdr:nvGrpSpPr>
        <cdr:cNvPr id="24" name="Group 1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2554916" y="291995"/>
          <a:ext cx="1977065" cy="2640789"/>
          <a:chOff x="918" y="51"/>
          <a:chExt cx="174" cy="299"/>
        </a:xfrm>
      </cdr:grpSpPr>
      <cdr:sp macro="" textlink="">
        <cdr:nvSpPr>
          <cdr:cNvPr id="102402" name="AutoShape 2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-10790201">
            <a:off x="918" y="51"/>
            <a:ext cx="174" cy="299"/>
          </a:xfrm>
          <a:prstGeom xmlns:a="http://schemas.openxmlformats.org/drawingml/2006/main" prst="rtTriangle">
            <a:avLst/>
          </a:prstGeom>
          <a:solidFill xmlns:a="http://schemas.openxmlformats.org/drawingml/2006/main">
            <a:srgbClr xmlns:mc="http://schemas.openxmlformats.org/markup-compatibility/2006" xmlns:a14="http://schemas.microsoft.com/office/drawing/2010/main" val="FFFFFF" mc:Ignorable="a14" a14:legacySpreadsheetColorIndex="9"/>
          </a:solidFill>
          <a:ln xmlns:a="http://schemas.openxmlformats.org/drawingml/2006/main"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/>
          <a:lstStyle xmlns:a="http://schemas.openxmlformats.org/drawingml/2006/main"/>
          <a:p xmlns:a="http://schemas.openxmlformats.org/drawingml/2006/main">
            <a:endParaRPr lang="de-CH"/>
          </a:p>
        </cdr:txBody>
      </cdr:sp>
    </cdr:grpSp>
  </cdr:relSizeAnchor>
  <cdr:relSizeAnchor xmlns:cdr="http://schemas.openxmlformats.org/drawingml/2006/chartDrawing">
    <cdr:from>
      <cdr:x>0.07984</cdr:x>
      <cdr:y>0.32396</cdr:y>
    </cdr:from>
    <cdr:to>
      <cdr:x>0.07984</cdr:x>
      <cdr:y>0.32396</cdr:y>
    </cdr:to>
    <cdr:sp macro="" textlink="">
      <cdr:nvSpPr>
        <cdr:cNvPr id="102404" name="Text Box 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5502" y="107700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de-CH"/>
        </a:p>
      </cdr:txBody>
    </cdr:sp>
  </cdr:relSizeAnchor>
  <cdr:relSizeAnchor xmlns:cdr="http://schemas.openxmlformats.org/drawingml/2006/chartDrawing">
    <cdr:from>
      <cdr:x>0.1199</cdr:x>
      <cdr:y>0.38903</cdr:y>
    </cdr:from>
    <cdr:to>
      <cdr:x>0.1199</cdr:x>
      <cdr:y>0.38903</cdr:y>
    </cdr:to>
    <cdr:sp macro="" textlink="">
      <cdr:nvSpPr>
        <cdr:cNvPr id="102405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2256" y="1292703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0.8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y</a:t>
          </a:r>
          <a:endParaRPr lang="da-DK"/>
        </a:p>
      </cdr:txBody>
    </cdr:sp>
  </cdr:relSizeAnchor>
  <cdr:relSizeAnchor xmlns:cdr="http://schemas.openxmlformats.org/drawingml/2006/chartDrawing">
    <cdr:from>
      <cdr:x>0.07031</cdr:x>
      <cdr:y>0.54735</cdr:y>
    </cdr:from>
    <cdr:to>
      <cdr:x>0.07031</cdr:x>
      <cdr:y>0.54735</cdr:y>
    </cdr:to>
    <cdr:sp macro="" textlink="">
      <cdr:nvSpPr>
        <cdr:cNvPr id="102406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95847" y="1817473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1.7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x</a:t>
          </a:r>
          <a:endParaRPr lang="da-DK"/>
        </a:p>
      </cdr:txBody>
    </cdr:sp>
  </cdr:relSizeAnchor>
  <cdr:relSizeAnchor xmlns:cdr="http://schemas.openxmlformats.org/drawingml/2006/chartDrawing">
    <cdr:from>
      <cdr:x>0.53005</cdr:x>
      <cdr:y>0.71441</cdr:y>
    </cdr:from>
    <cdr:to>
      <cdr:x>0.53005</cdr:x>
      <cdr:y>0.71441</cdr:y>
    </cdr:to>
    <cdr:sp macro="" textlink="">
      <cdr:nvSpPr>
        <cdr:cNvPr id="102407" name="Text Box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09453" y="2371219"/>
          <a:ext cx="0" cy="0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9"/>
        </a:solidFill>
        <a:ln xmlns:a="http://schemas.openxmlformats.org/drawingml/2006/main"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S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12</a:t>
          </a:r>
        </a:p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12</a:t>
          </a:r>
        </a:p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A.3C</a:t>
          </a:r>
          <a:r>
            <a:rPr lang="da-DK" sz="800" b="0" i="0" u="sng" strike="noStrike" baseline="0">
              <a:solidFill>
                <a:srgbClr val="FF0000"/>
              </a:solidFill>
              <a:latin typeface="Arial"/>
              <a:cs typeface="Arial"/>
            </a:rPr>
            <a:t>S</a:t>
          </a: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.H</a:t>
          </a:r>
          <a:r>
            <a:rPr lang="da-DK" sz="800" b="0" i="0" u="none" strike="noStrike" baseline="-25000">
              <a:solidFill>
                <a:srgbClr val="FF0000"/>
              </a:solidFill>
              <a:latin typeface="Arial"/>
              <a:cs typeface="Arial"/>
            </a:rPr>
            <a:t>32</a:t>
          </a:r>
          <a:endParaRPr lang="da-DK"/>
        </a:p>
      </cdr:txBody>
    </cdr:sp>
  </cdr:relSizeAnchor>
  <cdr:relSizeAnchor xmlns:cdr="http://schemas.openxmlformats.org/drawingml/2006/chartDrawing">
    <cdr:from>
      <cdr:x>0.01535</cdr:x>
      <cdr:y>0.74743</cdr:y>
    </cdr:from>
    <cdr:to>
      <cdr:x>0.01535</cdr:x>
      <cdr:y>0.74743</cdr:y>
    </cdr:to>
    <cdr:sp macro="" textlink="">
      <cdr:nvSpPr>
        <cdr:cNvPr id="102408" name="Text Box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69" y="2480680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CH</a:t>
          </a:r>
          <a:endParaRPr lang="da-DK"/>
        </a:p>
      </cdr:txBody>
    </cdr:sp>
  </cdr:relSizeAnchor>
  <cdr:relSizeAnchor xmlns:cdr="http://schemas.openxmlformats.org/drawingml/2006/chartDrawing">
    <cdr:from>
      <cdr:x>0.27038</cdr:x>
      <cdr:y>0.88996</cdr:y>
    </cdr:from>
    <cdr:to>
      <cdr:x>0.27038</cdr:x>
      <cdr:y>0.88996</cdr:y>
    </cdr:to>
    <cdr:sp macro="" textlink="">
      <cdr:nvSpPr>
        <cdr:cNvPr id="102409" name="Text Box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128601" y="2953134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8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da-DK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endParaRPr lang="da-DK"/>
        </a:p>
      </cdr:txBody>
    </cdr:sp>
  </cdr:relSizeAnchor>
  <cdr:relSizeAnchor xmlns:cdr="http://schemas.openxmlformats.org/drawingml/2006/chartDrawing">
    <cdr:from>
      <cdr:x>0.40986</cdr:x>
      <cdr:y>0.6571</cdr:y>
    </cdr:from>
    <cdr:to>
      <cdr:x>0.40986</cdr:x>
      <cdr:y>0.6571</cdr:y>
    </cdr:to>
    <cdr:sp macro="" textlink="">
      <cdr:nvSpPr>
        <cdr:cNvPr id="102410" name="Text Box 1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09191" y="2181271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stratlingite</a:t>
          </a:r>
          <a:endParaRPr lang="da-DK"/>
        </a:p>
      </cdr:txBody>
    </cdr:sp>
  </cdr:relSizeAnchor>
  <cdr:relSizeAnchor xmlns:cdr="http://schemas.openxmlformats.org/drawingml/2006/chartDrawing">
    <cdr:from>
      <cdr:x>0.53005</cdr:x>
      <cdr:y>0.08211</cdr:y>
    </cdr:from>
    <cdr:to>
      <cdr:x>0.53005</cdr:x>
      <cdr:y>0.08211</cdr:y>
    </cdr:to>
    <cdr:sp macro="" textlink="">
      <cdr:nvSpPr>
        <cdr:cNvPr id="102411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09453" y="275357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silica gel</a:t>
          </a:r>
          <a:endParaRPr lang="da-DK"/>
        </a:p>
      </cdr:txBody>
    </cdr:sp>
  </cdr:relSizeAnchor>
  <cdr:relSizeAnchor xmlns:cdr="http://schemas.openxmlformats.org/drawingml/2006/chartDrawing">
    <cdr:from>
      <cdr:x>0.88889</cdr:x>
      <cdr:y>0.83023</cdr:y>
    </cdr:from>
    <cdr:to>
      <cdr:x>0.88889</cdr:x>
      <cdr:y>0.83023</cdr:y>
    </cdr:to>
    <cdr:sp macro="" textlink="">
      <cdr:nvSpPr>
        <cdr:cNvPr id="102412" name="Text Box 1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703123" y="2755138"/>
          <a:ext cx="0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800" b="0" i="0" u="none" strike="noStrike" baseline="0">
              <a:solidFill>
                <a:srgbClr val="FF0000"/>
              </a:solidFill>
              <a:latin typeface="Arial"/>
              <a:cs typeface="Arial"/>
            </a:rPr>
            <a:t>gibsite</a:t>
          </a:r>
          <a:endParaRPr lang="da-DK"/>
        </a:p>
      </cdr:txBody>
    </cdr:sp>
  </cdr:relSizeAnchor>
  <cdr:relSizeAnchor xmlns:cdr="http://schemas.openxmlformats.org/drawingml/2006/chartDrawing">
    <cdr:from>
      <cdr:x>0.02851</cdr:x>
      <cdr:y>0.83998</cdr:y>
    </cdr:from>
    <cdr:to>
      <cdr:x>0.13233</cdr:x>
      <cdr:y>0.91088</cdr:y>
    </cdr:to>
    <cdr:sp macro="" textlink="">
      <cdr:nvSpPr>
        <cdr:cNvPr id="102414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1974" y="2857635"/>
          <a:ext cx="517025" cy="2412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11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da-DK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A</a:t>
          </a:r>
          <a:endParaRPr lang="da-DK"/>
        </a:p>
      </cdr:txBody>
    </cdr:sp>
  </cdr:relSizeAnchor>
  <cdr:relSizeAnchor xmlns:cdr="http://schemas.openxmlformats.org/drawingml/2006/chartDrawing">
    <cdr:from>
      <cdr:x>0.16314</cdr:x>
      <cdr:y>0.5658</cdr:y>
    </cdr:from>
    <cdr:to>
      <cdr:x>0.21908</cdr:x>
      <cdr:y>0.63403</cdr:y>
    </cdr:to>
    <cdr:sp macro="" textlink="">
      <cdr:nvSpPr>
        <cdr:cNvPr id="102416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2229" y="1878643"/>
          <a:ext cx="232846" cy="22616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Ms</a:t>
          </a:r>
          <a:endParaRPr lang="da-DK"/>
        </a:p>
      </cdr:txBody>
    </cdr:sp>
  </cdr:relSizeAnchor>
  <cdr:relSizeAnchor xmlns:cdr="http://schemas.openxmlformats.org/drawingml/2006/chartDrawing">
    <cdr:from>
      <cdr:x>0.17874</cdr:x>
      <cdr:y>0.8997</cdr:y>
    </cdr:from>
    <cdr:to>
      <cdr:x>0.25251</cdr:x>
      <cdr:y>0.94729</cdr:y>
    </cdr:to>
    <cdr:sp macro="" textlink="">
      <cdr:nvSpPr>
        <cdr:cNvPr id="102417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90138" y="3060803"/>
          <a:ext cx="367376" cy="16190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Hc</a:t>
          </a:r>
          <a:endParaRPr lang="da-DK"/>
        </a:p>
      </cdr:txBody>
    </cdr:sp>
  </cdr:relSizeAnchor>
  <cdr:relSizeAnchor xmlns:cdr="http://schemas.openxmlformats.org/drawingml/2006/chartDrawing">
    <cdr:from>
      <cdr:x>0.24842</cdr:x>
      <cdr:y>0.90434</cdr:y>
    </cdr:from>
    <cdr:to>
      <cdr:x>0.32219</cdr:x>
      <cdr:y>0.95193</cdr:y>
    </cdr:to>
    <cdr:sp macro="" textlink="">
      <cdr:nvSpPr>
        <cdr:cNvPr id="102418" name="Text Box 1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37138" y="3076604"/>
          <a:ext cx="367376" cy="16190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Mc</a:t>
          </a:r>
          <a:endParaRPr lang="da-DK"/>
        </a:p>
      </cdr:txBody>
    </cdr:sp>
  </cdr:relSizeAnchor>
  <cdr:relSizeAnchor xmlns:cdr="http://schemas.openxmlformats.org/drawingml/2006/chartDrawing">
    <cdr:from>
      <cdr:x>0.2439</cdr:x>
      <cdr:y>0.3886</cdr:y>
    </cdr:from>
    <cdr:to>
      <cdr:x>0.31767</cdr:x>
      <cdr:y>0.43425</cdr:y>
    </cdr:to>
    <cdr:sp macro="" textlink="">
      <cdr:nvSpPr>
        <cdr:cNvPr id="102419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14610" y="1322036"/>
          <a:ext cx="367375" cy="15530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Ett</a:t>
          </a:r>
          <a:endParaRPr lang="da-DK"/>
        </a:p>
      </cdr:txBody>
    </cdr:sp>
  </cdr:relSizeAnchor>
  <cdr:relSizeAnchor xmlns:cdr="http://schemas.openxmlformats.org/drawingml/2006/chartDrawing">
    <cdr:from>
      <cdr:x>0.74105</cdr:x>
      <cdr:y>0.85534</cdr:y>
    </cdr:from>
    <cdr:to>
      <cdr:x>0.85463</cdr:x>
      <cdr:y>0.93071</cdr:y>
    </cdr:to>
    <cdr:sp macro="" textlink="">
      <cdr:nvSpPr>
        <cdr:cNvPr id="102420" name="Text Box 20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690459" y="2909894"/>
          <a:ext cx="565602" cy="25640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CaCO</a:t>
          </a:r>
          <a:r>
            <a:rPr lang="da-DK" sz="11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endParaRPr lang="da-DK" sz="1100" baseline="-25000"/>
        </a:p>
      </cdr:txBody>
    </cdr:sp>
  </cdr:relSizeAnchor>
  <cdr:relSizeAnchor xmlns:cdr="http://schemas.openxmlformats.org/drawingml/2006/chartDrawing">
    <cdr:from>
      <cdr:x>0.37625</cdr:x>
      <cdr:y>0.04208</cdr:y>
    </cdr:from>
    <cdr:to>
      <cdr:x>0.47357</cdr:x>
      <cdr:y>0.10154</cdr:y>
    </cdr:to>
    <cdr:sp macro="" textlink="">
      <cdr:nvSpPr>
        <cdr:cNvPr id="102421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73742" y="143145"/>
          <a:ext cx="484647" cy="202286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a-DK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CaSO</a:t>
          </a:r>
          <a:r>
            <a:rPr lang="da-DK" sz="11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4</a:t>
          </a:r>
          <a:endParaRPr lang="da-DK" sz="1100" baseline="-25000"/>
        </a:p>
      </cdr:txBody>
    </cdr:sp>
  </cdr:relSizeAnchor>
  <cdr:relSizeAnchor xmlns:cdr="http://schemas.openxmlformats.org/drawingml/2006/chartDrawing">
    <cdr:from>
      <cdr:x>0.12575</cdr:x>
      <cdr:y>0.66536</cdr:y>
    </cdr:from>
    <cdr:to>
      <cdr:x>0.18169</cdr:x>
      <cdr:y>0.73359</cdr:y>
    </cdr:to>
    <cdr:sp macro="" textlink="">
      <cdr:nvSpPr>
        <cdr:cNvPr id="29" name="Text Box 1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22300" y="2156883"/>
          <a:ext cx="276834" cy="22117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Hs</a:t>
          </a:r>
          <a:endParaRPr lang="da-DK"/>
        </a:p>
      </cdr:txBody>
    </cdr:sp>
  </cdr:relSizeAnchor>
  <cdr:relSizeAnchor xmlns:cdr="http://schemas.openxmlformats.org/drawingml/2006/chartDrawing">
    <cdr:from>
      <cdr:x>0.09366</cdr:x>
      <cdr:y>0.08583</cdr:y>
    </cdr:from>
    <cdr:to>
      <cdr:x>0.16348</cdr:x>
      <cdr:y>0.15889</cdr:y>
    </cdr:to>
    <cdr:sp macro="" textlink="">
      <cdr:nvSpPr>
        <cdr:cNvPr id="25" name="Text Box 2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518" y="300831"/>
          <a:ext cx="348530" cy="2560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1075" b="1" i="0" u="none" strike="noStrike" baseline="0">
              <a:solidFill>
                <a:srgbClr val="000000"/>
              </a:solidFill>
              <a:latin typeface="Arial"/>
              <a:cs typeface="Arial"/>
            </a:rPr>
            <a:t>wt%</a:t>
          </a:r>
          <a:endParaRPr lang="da-DK" b="1"/>
        </a:p>
      </cdr:txBody>
    </cdr:sp>
  </cdr:relSizeAnchor>
  <cdr:relSizeAnchor xmlns:cdr="http://schemas.openxmlformats.org/drawingml/2006/chartDrawing">
    <cdr:from>
      <cdr:x>0.16285</cdr:x>
      <cdr:y>0.62886</cdr:y>
    </cdr:from>
    <cdr:to>
      <cdr:x>0.20607</cdr:x>
      <cdr:y>0.8912</cdr:y>
    </cdr:to>
    <cdr:sp macro="" textlink="">
      <cdr:nvSpPr>
        <cdr:cNvPr id="2" name="Freihandform 1"/>
        <cdr:cNvSpPr/>
      </cdr:nvSpPr>
      <cdr:spPr>
        <a:xfrm xmlns:a="http://schemas.openxmlformats.org/drawingml/2006/main">
          <a:off x="811012" y="2139383"/>
          <a:ext cx="215205" cy="892499"/>
        </a:xfrm>
        <a:custGeom xmlns:a="http://schemas.openxmlformats.org/drawingml/2006/main">
          <a:avLst/>
          <a:gdLst>
            <a:gd name="connsiteX0" fmla="*/ 0 w 251732"/>
            <a:gd name="connsiteY0" fmla="*/ 340179 h 809625"/>
            <a:gd name="connsiteX1" fmla="*/ 251732 w 251732"/>
            <a:gd name="connsiteY1" fmla="*/ 0 h 809625"/>
            <a:gd name="connsiteX2" fmla="*/ 224518 w 251732"/>
            <a:gd name="connsiteY2" fmla="*/ 809625 h 809625"/>
            <a:gd name="connsiteX3" fmla="*/ 0 w 251732"/>
            <a:gd name="connsiteY3" fmla="*/ 340179 h 809625"/>
            <a:gd name="connsiteX0" fmla="*/ 0 w 251732"/>
            <a:gd name="connsiteY0" fmla="*/ 340179 h 836839"/>
            <a:gd name="connsiteX1" fmla="*/ 251732 w 251732"/>
            <a:gd name="connsiteY1" fmla="*/ 0 h 836839"/>
            <a:gd name="connsiteX2" fmla="*/ 224518 w 251732"/>
            <a:gd name="connsiteY2" fmla="*/ 836839 h 836839"/>
            <a:gd name="connsiteX3" fmla="*/ 0 w 251732"/>
            <a:gd name="connsiteY3" fmla="*/ 340179 h 836839"/>
            <a:gd name="connsiteX0" fmla="*/ 0 w 224518"/>
            <a:gd name="connsiteY0" fmla="*/ 347597 h 844257"/>
            <a:gd name="connsiteX1" fmla="*/ 215114 w 224518"/>
            <a:gd name="connsiteY1" fmla="*/ 0 h 844257"/>
            <a:gd name="connsiteX2" fmla="*/ 224518 w 224518"/>
            <a:gd name="connsiteY2" fmla="*/ 844257 h 844257"/>
            <a:gd name="connsiteX3" fmla="*/ 0 w 224518"/>
            <a:gd name="connsiteY3" fmla="*/ 347597 h 844257"/>
            <a:gd name="connsiteX0" fmla="*/ 0 w 215114"/>
            <a:gd name="connsiteY0" fmla="*/ 347597 h 903601"/>
            <a:gd name="connsiteX1" fmla="*/ 215114 w 215114"/>
            <a:gd name="connsiteY1" fmla="*/ 0 h 903601"/>
            <a:gd name="connsiteX2" fmla="*/ 180575 w 215114"/>
            <a:gd name="connsiteY2" fmla="*/ 903601 h 903601"/>
            <a:gd name="connsiteX3" fmla="*/ 0 w 215114"/>
            <a:gd name="connsiteY3" fmla="*/ 347597 h 903601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215114" h="903601">
              <a:moveTo>
                <a:pt x="0" y="347597"/>
              </a:moveTo>
              <a:lnTo>
                <a:pt x="215114" y="0"/>
              </a:lnTo>
              <a:lnTo>
                <a:pt x="180575" y="903601"/>
              </a:lnTo>
              <a:lnTo>
                <a:pt x="0" y="347597"/>
              </a:lnTo>
              <a:close/>
            </a:path>
          </a:pathLst>
        </a:custGeom>
        <a:solidFill xmlns:a="http://schemas.openxmlformats.org/drawingml/2006/main">
          <a:schemeClr val="accent1">
            <a:alpha val="23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DE"/>
        </a:p>
      </cdr:txBody>
    </cdr:sp>
  </cdr:relSizeAnchor>
  <cdr:relSizeAnchor xmlns:cdr="http://schemas.openxmlformats.org/drawingml/2006/chartDrawing">
    <cdr:from>
      <cdr:x>0.70896</cdr:x>
      <cdr:y>0.02355</cdr:y>
    </cdr:from>
    <cdr:to>
      <cdr:x>0.89057</cdr:x>
      <cdr:y>0.07708</cdr:y>
    </cdr:to>
    <cdr:sp macro="" textlink="">
      <cdr:nvSpPr>
        <cdr:cNvPr id="27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531089" y="80108"/>
          <a:ext cx="904555" cy="1821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9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Excess phases:</a:t>
          </a:r>
        </a:p>
        <a:p xmlns:a="http://schemas.openxmlformats.org/drawingml/2006/main">
          <a:pPr algn="l" rtl="0">
            <a:defRPr sz="1000"/>
          </a:pPr>
          <a:r>
            <a:rPr lang="da-DK" sz="9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pore solution </a:t>
          </a:r>
        </a:p>
        <a:p xmlns:a="http://schemas.openxmlformats.org/drawingml/2006/main">
          <a:pPr algn="l" rtl="0">
            <a:defRPr sz="1000"/>
          </a:pPr>
          <a:r>
            <a:rPr lang="da-DK" sz="9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C-A-S-H</a:t>
          </a:r>
        </a:p>
        <a:p xmlns:a="http://schemas.openxmlformats.org/drawingml/2006/main"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a-DK" sz="900" i="1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portlandite</a:t>
          </a:r>
          <a:r>
            <a:rPr lang="da-DK" sz="900" i="1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or strätlingite</a:t>
          </a:r>
          <a:endParaRPr lang="de-CH" sz="9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algn="l" rtl="0">
            <a:defRPr sz="1000"/>
          </a:pPr>
          <a:r>
            <a:rPr lang="da-DK" sz="900" b="0" i="1" u="none" strike="noStrike" baseline="0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t>FH</a:t>
          </a:r>
        </a:p>
        <a:p xmlns:a="http://schemas.openxmlformats.org/drawingml/2006/main">
          <a:pPr algn="l" rtl="0">
            <a:defRPr sz="1000"/>
          </a:pPr>
          <a:r>
            <a:rPr lang="da-DK" sz="900" i="1">
              <a:latin typeface="Arial" panose="020B0604020202020204" pitchFamily="34" charset="0"/>
              <a:cs typeface="Arial" panose="020B0604020202020204" pitchFamily="34" charset="0"/>
            </a:rPr>
            <a:t>M</a:t>
          </a:r>
          <a:r>
            <a:rPr lang="da-DK" sz="900" i="1" baseline="-25000">
              <a:latin typeface="Arial" panose="020B0604020202020204" pitchFamily="34" charset="0"/>
              <a:cs typeface="Arial" panose="020B0604020202020204" pitchFamily="34" charset="0"/>
            </a:rPr>
            <a:t>4</a:t>
          </a:r>
          <a:r>
            <a:rPr lang="da-DK" sz="900" i="1">
              <a:latin typeface="Arial" panose="020B0604020202020204" pitchFamily="34" charset="0"/>
              <a:cs typeface="Arial" panose="020B0604020202020204" pitchFamily="34" charset="0"/>
            </a:rPr>
            <a:t>AH</a:t>
          </a:r>
          <a:r>
            <a:rPr lang="da-DK" sz="900" i="1" baseline="-25000">
              <a:latin typeface="Arial" panose="020B0604020202020204" pitchFamily="34" charset="0"/>
              <a:cs typeface="Arial" panose="020B0604020202020204" pitchFamily="34" charset="0"/>
            </a:rPr>
            <a:t>10</a:t>
          </a:r>
        </a:p>
      </cdr:txBody>
    </cdr:sp>
  </cdr:relSizeAnchor>
  <cdr:relSizeAnchor xmlns:cdr="http://schemas.openxmlformats.org/drawingml/2006/chartDrawing">
    <cdr:from>
      <cdr:x>0.56051</cdr:x>
      <cdr:y>0.414</cdr:y>
    </cdr:from>
    <cdr:to>
      <cdr:x>0.71175</cdr:x>
      <cdr:y>0.46274</cdr:y>
    </cdr:to>
    <cdr:sp macro="" textlink="">
      <cdr:nvSpPr>
        <cdr:cNvPr id="28" name="Text Box 1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791358" y="1408435"/>
          <a:ext cx="753177" cy="16581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thaumasite</a:t>
          </a:r>
          <a:endParaRPr lang="da-DK"/>
        </a:p>
      </cdr:txBody>
    </cdr:sp>
  </cdr:relSizeAnchor>
  <cdr:relSizeAnchor xmlns:cdr="http://schemas.openxmlformats.org/drawingml/2006/chartDrawing">
    <cdr:from>
      <cdr:x>0.03785</cdr:x>
      <cdr:y>0.89492</cdr:y>
    </cdr:from>
    <cdr:to>
      <cdr:x>0.16114</cdr:x>
      <cdr:y>1</cdr:y>
    </cdr:to>
    <cdr:sp macro="" textlink="">
      <cdr:nvSpPr>
        <cdr:cNvPr id="26" name="Text Box 1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88383" y="3007397"/>
          <a:ext cx="613575" cy="35311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/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C</a:t>
          </a:r>
          <a:r>
            <a:rPr lang="da-DK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3</a:t>
          </a:r>
          <a:r>
            <a:rPr lang="da-DK" sz="1000" b="0" i="0" u="none" strike="noStrike" baseline="0">
              <a:solidFill>
                <a:srgbClr val="000000"/>
              </a:solidFill>
              <a:latin typeface="Arial"/>
              <a:cs typeface="Arial"/>
            </a:rPr>
            <a:t>AH</a:t>
          </a:r>
          <a:r>
            <a:rPr lang="da-DK" sz="1000" b="0" i="0" u="none" strike="noStrike" baseline="-25000">
              <a:solidFill>
                <a:srgbClr val="000000"/>
              </a:solidFill>
              <a:latin typeface="Arial"/>
              <a:cs typeface="Arial"/>
            </a:rPr>
            <a:t>6</a:t>
          </a:r>
        </a:p>
        <a:p xmlns:a="http://schemas.openxmlformats.org/drawingml/2006/main"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da-DK" sz="1000" b="0" i="1" baseline="0">
              <a:effectLst/>
              <a:latin typeface="+mn-lt"/>
              <a:ea typeface="+mn-ea"/>
              <a:cs typeface="+mn-cs"/>
            </a:rPr>
            <a:t>OH-AFm</a:t>
          </a:r>
          <a:endParaRPr lang="de-CH" i="1">
            <a:effectLst/>
          </a:endParaRPr>
        </a:p>
        <a:p xmlns:a="http://schemas.openxmlformats.org/drawingml/2006/main">
          <a:pPr algn="l" rtl="0">
            <a:defRPr sz="1000"/>
          </a:pPr>
          <a:endParaRPr lang="da-DK" baseline="-25000"/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files\DHE\TEMP\term,h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0MS"/>
      <sheetName val="CC0CS"/>
      <sheetName val="CC25MS"/>
      <sheetName val="CS7CC"/>
      <sheetName val="MS7CC"/>
      <sheetName val="cement"/>
      <sheetName val="minsel1"/>
      <sheetName val="minsel2"/>
      <sheetName val="analyseprio"/>
      <sheetName val="5C"/>
      <sheetName val="20C"/>
      <sheetName val="5CC5ms"/>
      <sheetName val="5CC25ms"/>
      <sheetName val="20CC25MS"/>
    </sheetNames>
    <sheetDataSet>
      <sheetData sheetId="0">
        <row r="34">
          <cell r="D34">
            <v>0</v>
          </cell>
          <cell r="E34">
            <v>0.40429999999999999</v>
          </cell>
          <cell r="F34">
            <v>0</v>
          </cell>
          <cell r="G34">
            <v>0.37090000000000001</v>
          </cell>
          <cell r="H34">
            <v>0.26790000000000003</v>
          </cell>
          <cell r="I34">
            <v>0.39439999999999997</v>
          </cell>
          <cell r="J34">
            <v>0.75700000000000001</v>
          </cell>
          <cell r="K34">
            <v>0</v>
          </cell>
        </row>
        <row r="35">
          <cell r="D35">
            <v>0</v>
          </cell>
          <cell r="E35">
            <v>0.25080000000000002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</row>
        <row r="36">
          <cell r="D36">
            <v>0</v>
          </cell>
          <cell r="E36">
            <v>0.02</v>
          </cell>
          <cell r="F36">
            <v>0</v>
          </cell>
          <cell r="G36">
            <v>0.16889999999999999</v>
          </cell>
          <cell r="H36">
            <v>8.1299999999999997E-2</v>
          </cell>
          <cell r="I36">
            <v>0.17960000000000001</v>
          </cell>
          <cell r="J36">
            <v>0</v>
          </cell>
          <cell r="K36">
            <v>0</v>
          </cell>
        </row>
        <row r="37">
          <cell r="D37">
            <v>0</v>
          </cell>
          <cell r="E37">
            <v>0</v>
          </cell>
          <cell r="F37">
            <v>0.74729999999999996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0.69230000000000003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0.13250000000000001</v>
          </cell>
          <cell r="H39">
            <v>0.19139999999999999</v>
          </cell>
          <cell r="I39">
            <v>0</v>
          </cell>
          <cell r="J39">
            <v>0</v>
          </cell>
          <cell r="K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7.7499999999999999E-2</v>
          </cell>
          <cell r="J40">
            <v>0</v>
          </cell>
          <cell r="K40">
            <v>0</v>
          </cell>
        </row>
        <row r="41">
          <cell r="D41">
            <v>1</v>
          </cell>
          <cell r="E41">
            <v>0.32</v>
          </cell>
          <cell r="F41">
            <v>0.25269999999999998</v>
          </cell>
          <cell r="G41">
            <v>0.32779999999999998</v>
          </cell>
          <cell r="H41">
            <v>0.45929999999999999</v>
          </cell>
          <cell r="I41">
            <v>0.34860000000000002</v>
          </cell>
          <cell r="J41">
            <v>0.24299999999999999</v>
          </cell>
          <cell r="K41">
            <v>0.30869999999999997</v>
          </cell>
        </row>
        <row r="45">
          <cell r="D45">
            <v>-0.32100396301188894</v>
          </cell>
          <cell r="E45">
            <v>-0.79362777530472517</v>
          </cell>
          <cell r="F45">
            <v>0.44118741460658983</v>
          </cell>
          <cell r="G45">
            <v>-0.33815067576609126</v>
          </cell>
          <cell r="H45">
            <v>-0.44590495449949435</v>
          </cell>
          <cell r="I45">
            <v>-2.1377825241203277</v>
          </cell>
          <cell r="J45">
            <v>-3.8868812471155434</v>
          </cell>
          <cell r="K45">
            <v>1</v>
          </cell>
        </row>
        <row r="46">
          <cell r="D46">
            <v>-2.746037656752799E-16</v>
          </cell>
          <cell r="E46">
            <v>3.9872408293460921</v>
          </cell>
          <cell r="F46">
            <v>0</v>
          </cell>
          <cell r="G46">
            <v>0</v>
          </cell>
          <cell r="H46">
            <v>0</v>
          </cell>
          <cell r="I46">
            <v>1.0984150627011196E-15</v>
          </cell>
          <cell r="J46">
            <v>-2.7460376567527988E-15</v>
          </cell>
          <cell r="K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1.3381506757660913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</row>
        <row r="48">
          <cell r="D48">
            <v>9.6507174637482659E-16</v>
          </cell>
          <cell r="E48">
            <v>-0.70809599603700657</v>
          </cell>
          <cell r="F48">
            <v>8.8795237903040611</v>
          </cell>
          <cell r="G48">
            <v>0</v>
          </cell>
          <cell r="H48">
            <v>0</v>
          </cell>
          <cell r="I48">
            <v>-3.7717099485460825</v>
          </cell>
          <cell r="J48">
            <v>-20.577580293401411</v>
          </cell>
          <cell r="K48">
            <v>0</v>
          </cell>
        </row>
        <row r="49">
          <cell r="D49">
            <v>-5.8008030176991603E-16</v>
          </cell>
          <cell r="E49">
            <v>0.49019184678632938</v>
          </cell>
          <cell r="F49">
            <v>-6.1470057587005646</v>
          </cell>
          <cell r="G49">
            <v>0</v>
          </cell>
          <cell r="H49">
            <v>0</v>
          </cell>
          <cell r="I49">
            <v>7.8356926237322675</v>
          </cell>
          <cell r="J49">
            <v>14.245190119517698</v>
          </cell>
          <cell r="K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12.903225806451614</v>
          </cell>
          <cell r="K50">
            <v>0</v>
          </cell>
        </row>
        <row r="51">
          <cell r="D51">
            <v>1.3210039630118888</v>
          </cell>
          <cell r="E51">
            <v>-1.9560515959426115</v>
          </cell>
          <cell r="F51">
            <v>-2.1752080991649865</v>
          </cell>
          <cell r="G51">
            <v>0</v>
          </cell>
          <cell r="H51">
            <v>0</v>
          </cell>
          <cell r="I51">
            <v>-0.92503941080862984</v>
          </cell>
          <cell r="J51">
            <v>-1.6817624309917087</v>
          </cell>
          <cell r="K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1.4444604940054888</v>
          </cell>
          <cell r="I52">
            <v>0</v>
          </cell>
          <cell r="J52">
            <v>0</v>
          </cell>
          <cell r="K52">
            <v>0</v>
          </cell>
        </row>
        <row r="55">
          <cell r="D55">
            <v>0</v>
          </cell>
          <cell r="E55">
            <v>1</v>
          </cell>
          <cell r="F55">
            <v>2</v>
          </cell>
          <cell r="G55">
            <v>3</v>
          </cell>
          <cell r="H55">
            <v>4</v>
          </cell>
          <cell r="I55">
            <v>5</v>
          </cell>
          <cell r="J55">
            <v>6</v>
          </cell>
          <cell r="K55">
            <v>7</v>
          </cell>
          <cell r="L55">
            <v>8</v>
          </cell>
          <cell r="M55">
            <v>9</v>
          </cell>
          <cell r="N55">
            <v>10</v>
          </cell>
          <cell r="O55">
            <v>11</v>
          </cell>
          <cell r="P55">
            <v>12</v>
          </cell>
          <cell r="Q55">
            <v>13</v>
          </cell>
          <cell r="R55">
            <v>14</v>
          </cell>
          <cell r="S55">
            <v>15</v>
          </cell>
          <cell r="T55">
            <v>16</v>
          </cell>
          <cell r="U55">
            <v>17</v>
          </cell>
          <cell r="V55">
            <v>18</v>
          </cell>
          <cell r="W55">
            <v>19</v>
          </cell>
          <cell r="X55">
            <v>20</v>
          </cell>
          <cell r="Y55">
            <v>21</v>
          </cell>
          <cell r="Z55">
            <v>22</v>
          </cell>
          <cell r="AA55">
            <v>23</v>
          </cell>
          <cell r="AB55">
            <v>24</v>
          </cell>
        </row>
        <row r="70">
          <cell r="D70">
            <v>59.431152383674117</v>
          </cell>
          <cell r="E70">
            <v>58.340596647671084</v>
          </cell>
          <cell r="F70">
            <v>57.226975154896124</v>
          </cell>
          <cell r="G70">
            <v>56.09183431603207</v>
          </cell>
          <cell r="H70">
            <v>54.936627834013436</v>
          </cell>
          <cell r="I70">
            <v>53.76272307049058</v>
          </cell>
          <cell r="J70">
            <v>52.571406904171148</v>
          </cell>
          <cell r="K70">
            <v>51.592794640954239</v>
          </cell>
          <cell r="L70">
            <v>50.804013978322494</v>
          </cell>
          <cell r="M70">
            <v>49.978428203177842</v>
          </cell>
          <cell r="N70">
            <v>49.116849275667988</v>
          </cell>
          <cell r="O70">
            <v>48.220059911921396</v>
          </cell>
        </row>
        <row r="74">
          <cell r="D74">
            <v>2.2120621872642601</v>
          </cell>
          <cell r="E74">
            <v>5.8175817494915529</v>
          </cell>
          <cell r="F74">
            <v>9.3610043323432262</v>
          </cell>
          <cell r="G74">
            <v>12.844464471859483</v>
          </cell>
          <cell r="H74">
            <v>16.269987182120019</v>
          </cell>
          <cell r="I74">
            <v>19.639495169166025</v>
          </cell>
          <cell r="J74">
            <v>22.954815475749648</v>
          </cell>
          <cell r="K74">
            <v>24.510587107700665</v>
          </cell>
          <cell r="L74">
            <v>24.409502273747258</v>
          </cell>
          <cell r="M74">
            <v>24.322835141871067</v>
          </cell>
          <cell r="N74">
            <v>24.250243708842412</v>
          </cell>
          <cell r="O74">
            <v>24.191398163556105</v>
          </cell>
        </row>
        <row r="75"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</row>
        <row r="76">
          <cell r="D76">
            <v>21.925138681299462</v>
          </cell>
          <cell r="E76">
            <v>21.11630063897988</v>
          </cell>
          <cell r="F76">
            <v>20.352344365508781</v>
          </cell>
          <cell r="G76">
            <v>19.631169755613936</v>
          </cell>
          <cell r="H76">
            <v>18.950794342193177</v>
          </cell>
          <cell r="I76">
            <v>18.309345355463371</v>
          </cell>
          <cell r="J76">
            <v>17.705052412935935</v>
          </cell>
          <cell r="K76">
            <v>17.212356271790199</v>
          </cell>
          <cell r="L76">
            <v>16.819989672382729</v>
          </cell>
          <cell r="M76">
            <v>16.450997953712857</v>
          </cell>
          <cell r="N76">
            <v>16.104813303812936</v>
          </cell>
          <cell r="O76">
            <v>15.780888087615642</v>
          </cell>
        </row>
        <row r="77">
          <cell r="D77">
            <v>0.92767281589784523</v>
          </cell>
          <cell r="E77">
            <v>1.2499096270127055</v>
          </cell>
          <cell r="F77">
            <v>1.5673804505717552</v>
          </cell>
          <cell r="G77">
            <v>1.8802349998360417</v>
          </cell>
          <cell r="H77">
            <v>2.1886155566300407</v>
          </cell>
          <cell r="I77">
            <v>2.4926574559599874</v>
          </cell>
          <cell r="J77">
            <v>2.7924895325051087</v>
          </cell>
          <cell r="K77">
            <v>3.1019972696479958</v>
          </cell>
          <cell r="L77">
            <v>3.4246816476734963</v>
          </cell>
          <cell r="M77">
            <v>3.7484525799661954</v>
          </cell>
          <cell r="N77">
            <v>4.0733035698336932</v>
          </cell>
          <cell r="O77">
            <v>4.3992284463163633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315"/>
  <sheetViews>
    <sheetView tabSelected="1" topLeftCell="B9" zoomScale="80" zoomScaleNormal="80" zoomScaleSheetLayoutView="110" workbookViewId="0">
      <selection activeCell="F18" sqref="F18"/>
    </sheetView>
  </sheetViews>
  <sheetFormatPr baseColWidth="10" defaultColWidth="9.140625" defaultRowHeight="12.75" outlineLevelRow="1" outlineLevelCol="1" x14ac:dyDescent="0.2"/>
  <cols>
    <col min="1" max="1" width="9.140625" style="1" customWidth="1"/>
    <col min="2" max="2" width="12.7109375" style="1" bestFit="1" customWidth="1"/>
    <col min="3" max="3" width="13.5703125" style="1" customWidth="1"/>
    <col min="4" max="4" width="14.42578125" style="1" bestFit="1" customWidth="1"/>
    <col min="5" max="5" width="12.85546875" style="1" bestFit="1" customWidth="1"/>
    <col min="6" max="6" width="11.28515625" style="1" customWidth="1"/>
    <col min="7" max="7" width="13.85546875" style="1" customWidth="1"/>
    <col min="8" max="8" width="11.5703125" style="1" customWidth="1"/>
    <col min="9" max="9" width="15.140625" style="1" customWidth="1"/>
    <col min="10" max="10" width="13" style="1" customWidth="1"/>
    <col min="11" max="11" width="15" style="1" customWidth="1"/>
    <col min="12" max="12" width="9.140625" style="1" customWidth="1"/>
    <col min="13" max="13" width="11.42578125" style="1" customWidth="1"/>
    <col min="14" max="14" width="9.140625" style="1" customWidth="1"/>
    <col min="15" max="15" width="13.7109375" style="1" customWidth="1"/>
    <col min="16" max="17" width="9.140625" style="1" hidden="1" customWidth="1" outlineLevel="1"/>
    <col min="18" max="18" width="11" style="1" hidden="1" customWidth="1" outlineLevel="1"/>
    <col min="19" max="21" width="9.140625" style="1" hidden="1" customWidth="1" outlineLevel="1"/>
    <col min="22" max="22" width="10.140625" style="1" hidden="1" customWidth="1" outlineLevel="1"/>
    <col min="23" max="28" width="9.140625" style="1" hidden="1" customWidth="1" outlineLevel="1"/>
    <col min="29" max="29" width="9.140625" style="1" customWidth="1" collapsed="1"/>
    <col min="30" max="30" width="12.140625" style="1" customWidth="1"/>
    <col min="31" max="31" width="9.140625" style="1" customWidth="1"/>
    <col min="32" max="32" width="10.5703125" style="1" customWidth="1"/>
    <col min="33" max="33" width="9.28515625" style="1" bestFit="1" customWidth="1"/>
    <col min="34" max="34" width="9.85546875" style="1" bestFit="1" customWidth="1"/>
    <col min="35" max="38" width="9.28515625" style="1" bestFit="1" customWidth="1"/>
    <col min="39" max="39" width="10.42578125" style="1" customWidth="1"/>
    <col min="40" max="40" width="9.28515625" style="1" bestFit="1" customWidth="1"/>
    <col min="41" max="41" width="9.140625" style="1"/>
    <col min="42" max="42" width="9.85546875" style="1" bestFit="1" customWidth="1"/>
    <col min="43" max="43" width="10.7109375" style="1" customWidth="1"/>
    <col min="44" max="44" width="9.42578125" style="1" customWidth="1"/>
    <col min="45" max="45" width="9.28515625" style="1" bestFit="1" customWidth="1"/>
    <col min="46" max="46" width="9.140625" style="1" customWidth="1"/>
    <col min="47" max="51" width="9.140625" style="1"/>
    <col min="52" max="52" width="11.7109375" style="1" customWidth="1"/>
    <col min="53" max="53" width="9.140625" style="1"/>
    <col min="54" max="54" width="11.42578125" style="1" customWidth="1"/>
    <col min="55" max="59" width="9.140625" style="1"/>
    <col min="60" max="60" width="11" style="1" customWidth="1"/>
    <col min="61" max="16384" width="9.140625" style="1"/>
  </cols>
  <sheetData>
    <row r="1" spans="1:28" ht="17.25" x14ac:dyDescent="0.2">
      <c r="E1" s="2" t="s">
        <v>0</v>
      </c>
      <c r="F1" s="3" t="str">
        <f>F17</f>
        <v>OPC</v>
      </c>
      <c r="G1" s="3" t="str">
        <f>G17</f>
        <v>limestone</v>
      </c>
      <c r="H1" s="3" t="str">
        <f>H17</f>
        <v>silica fume</v>
      </c>
      <c r="I1" s="3" t="str">
        <f>I17</f>
        <v>fly ash</v>
      </c>
      <c r="J1" s="4" t="str">
        <f>J17</f>
        <v>slag</v>
      </c>
    </row>
    <row r="2" spans="1:28" x14ac:dyDescent="0.2">
      <c r="E2" s="5" t="s">
        <v>1</v>
      </c>
      <c r="F2" s="6" t="s">
        <v>2</v>
      </c>
      <c r="G2" s="6" t="s">
        <v>2</v>
      </c>
      <c r="H2" s="6" t="s">
        <v>2</v>
      </c>
      <c r="I2" s="6" t="s">
        <v>2</v>
      </c>
      <c r="J2" s="7" t="s">
        <v>2</v>
      </c>
    </row>
    <row r="3" spans="1:28" ht="14.25" x14ac:dyDescent="0.25">
      <c r="E3" s="8" t="s">
        <v>3</v>
      </c>
      <c r="F3" s="9">
        <v>22.680412371134022</v>
      </c>
      <c r="G3" s="9">
        <v>0.8</v>
      </c>
      <c r="H3" s="9">
        <v>96.9</v>
      </c>
      <c r="I3" s="9">
        <v>59.130434782608688</v>
      </c>
      <c r="J3" s="10">
        <v>38</v>
      </c>
      <c r="U3" s="11" t="s">
        <v>4</v>
      </c>
      <c r="V3" s="12"/>
      <c r="W3" s="13" t="s">
        <v>5</v>
      </c>
      <c r="X3" s="12"/>
      <c r="Y3" s="14"/>
    </row>
    <row r="4" spans="1:28" x14ac:dyDescent="0.2">
      <c r="E4" s="8" t="s">
        <v>6</v>
      </c>
      <c r="F4" s="9">
        <v>6.1855670103092795</v>
      </c>
      <c r="G4" s="15">
        <v>0.3</v>
      </c>
      <c r="H4" s="15">
        <v>0.7</v>
      </c>
      <c r="I4" s="15">
        <v>33.695652173913039</v>
      </c>
      <c r="J4" s="10">
        <v>14.1</v>
      </c>
      <c r="U4" s="8"/>
      <c r="V4" s="16" t="s">
        <v>7</v>
      </c>
      <c r="W4" s="16"/>
      <c r="X4" s="16" t="s">
        <v>8</v>
      </c>
      <c r="Y4" s="17" t="s">
        <v>9</v>
      </c>
      <c r="Z4" s="16" t="s">
        <v>10</v>
      </c>
      <c r="AA4" s="16" t="s">
        <v>11</v>
      </c>
    </row>
    <row r="5" spans="1:28" x14ac:dyDescent="0.2">
      <c r="E5" s="18" t="s">
        <v>12</v>
      </c>
      <c r="F5" s="19">
        <v>0</v>
      </c>
      <c r="G5" s="20">
        <v>0.3</v>
      </c>
      <c r="H5" s="21">
        <v>0.3</v>
      </c>
      <c r="I5" s="21">
        <v>0</v>
      </c>
      <c r="J5" s="22">
        <v>1</v>
      </c>
      <c r="U5" s="23" t="s">
        <v>3</v>
      </c>
      <c r="V5" s="24">
        <f t="shared" ref="V5:V12" si="0">(F3*F$14*F$18+G3*G$14*G$18+H3*H$14*H$18+I3*I$14*I$18+J3*J$14*J$18)/100</f>
        <v>22.680412371134022</v>
      </c>
      <c r="W5" s="16" t="s">
        <v>13</v>
      </c>
      <c r="X5" s="25">
        <f>V8-V12*(mCa+mO)/(mC+2*mO)-V13*(mCa+mO)/(mS+3*mO)</f>
        <v>61.348968998770246</v>
      </c>
      <c r="Y5" s="17">
        <f>X5/$X$16*100</f>
        <v>38.666991506697293</v>
      </c>
      <c r="Z5" s="1">
        <f>Y5/(mCa+mO)</f>
        <v>0.68952896365910854</v>
      </c>
    </row>
    <row r="6" spans="1:28" x14ac:dyDescent="0.2">
      <c r="E6" s="8" t="s">
        <v>13</v>
      </c>
      <c r="F6" s="9">
        <v>64.020618556701038</v>
      </c>
      <c r="G6" s="15">
        <v>55</v>
      </c>
      <c r="H6" s="9">
        <v>0.4</v>
      </c>
      <c r="I6" s="9">
        <v>4.7826086956521738</v>
      </c>
      <c r="J6" s="10">
        <v>36</v>
      </c>
      <c r="U6" s="23" t="s">
        <v>6</v>
      </c>
      <c r="V6" s="24">
        <f>(F4*F$14*F$18+G4*G$14*G$18+H4*H$14*H$18+I4*I$14*I$18+J4*J$14*J$18)/100</f>
        <v>6.1855670103092795</v>
      </c>
      <c r="W6" s="16" t="s">
        <v>3</v>
      </c>
      <c r="X6" s="25">
        <f>V5</f>
        <v>22.680412371134022</v>
      </c>
      <c r="Y6" s="17">
        <f>X6/$X$16*100</f>
        <v>14.294996751137104</v>
      </c>
      <c r="Z6" s="1">
        <f>Y6/(mSi+2*mO)</f>
        <v>0.23791567432985164</v>
      </c>
    </row>
    <row r="7" spans="1:28" x14ac:dyDescent="0.2">
      <c r="E7" s="18" t="s">
        <v>14</v>
      </c>
      <c r="F7" s="19">
        <v>1.9587628865979383</v>
      </c>
      <c r="G7" s="20">
        <v>0</v>
      </c>
      <c r="H7" s="21">
        <v>0.5</v>
      </c>
      <c r="I7" s="21">
        <v>0.86956521739130432</v>
      </c>
      <c r="J7" s="26">
        <v>6.6</v>
      </c>
      <c r="U7" s="23" t="s">
        <v>12</v>
      </c>
      <c r="V7" s="24">
        <f t="shared" si="0"/>
        <v>0</v>
      </c>
      <c r="W7" s="16" t="s">
        <v>6</v>
      </c>
      <c r="X7" s="25">
        <f>V6</f>
        <v>6.1855670103092795</v>
      </c>
      <c r="Y7" s="17">
        <f>X7/$X$16*100</f>
        <v>3.8986354775828467</v>
      </c>
      <c r="Z7" s="1">
        <f>Y7/(2*mAl+3*mO)</f>
        <v>3.8236432046122912E-2</v>
      </c>
      <c r="AA7" s="27">
        <f>(IF(Z7-Z13/4&gt;0,(Z7-Z13/4)*(2*mAl+3*mO),0))</f>
        <v>3.1178390819805406</v>
      </c>
      <c r="AB7" s="28" t="s">
        <v>15</v>
      </c>
    </row>
    <row r="8" spans="1:28" x14ac:dyDescent="0.2">
      <c r="E8" s="29" t="s">
        <v>16</v>
      </c>
      <c r="F8" s="20">
        <v>0.30927835051546393</v>
      </c>
      <c r="G8" s="20">
        <v>0</v>
      </c>
      <c r="H8" s="20">
        <v>0.3</v>
      </c>
      <c r="I8" s="20">
        <v>0.65217391304347816</v>
      </c>
      <c r="J8" s="30">
        <v>0.5</v>
      </c>
      <c r="U8" s="23" t="s">
        <v>13</v>
      </c>
      <c r="V8" s="24">
        <f t="shared" si="0"/>
        <v>64.020618556701038</v>
      </c>
      <c r="W8" s="16" t="s">
        <v>17</v>
      </c>
      <c r="X8" s="25">
        <f>V12/(mC+2*mO)*(mCa+mC+3*mO)</f>
        <v>0</v>
      </c>
      <c r="Y8" s="17">
        <f>X8/$X$16*100</f>
        <v>0</v>
      </c>
      <c r="Z8" s="1">
        <f>Y8/(1*mCa+mC+3*mO)</f>
        <v>0</v>
      </c>
    </row>
    <row r="9" spans="1:28" x14ac:dyDescent="0.2">
      <c r="E9" s="29" t="s">
        <v>18</v>
      </c>
      <c r="F9" s="20">
        <v>1.0309278350515465</v>
      </c>
      <c r="G9" s="20">
        <v>0</v>
      </c>
      <c r="H9" s="20">
        <v>0.85</v>
      </c>
      <c r="I9" s="20">
        <v>0.86956521739130432</v>
      </c>
      <c r="J9" s="30">
        <v>0.6</v>
      </c>
      <c r="P9" s="31"/>
      <c r="U9" s="23" t="s">
        <v>14</v>
      </c>
      <c r="V9" s="24">
        <f t="shared" si="0"/>
        <v>1.9587628865979383</v>
      </c>
      <c r="W9" s="16" t="s">
        <v>19</v>
      </c>
      <c r="X9" s="25">
        <f>V13/(mS+3*mO)*(mCa+mS+4*mO)</f>
        <v>6.486082547621514</v>
      </c>
      <c r="Y9" s="17">
        <f>X9/$X$16*100</f>
        <v>4.088044230794587</v>
      </c>
      <c r="Z9" s="1">
        <f>Y9/(1*mS+mCa+4*mO)</f>
        <v>3.0027884429113413E-2</v>
      </c>
    </row>
    <row r="10" spans="1:28" x14ac:dyDescent="0.2">
      <c r="E10" s="8" t="s">
        <v>20</v>
      </c>
      <c r="F10" s="15">
        <v>0</v>
      </c>
      <c r="G10" s="15">
        <v>43.5</v>
      </c>
      <c r="H10" s="15">
        <v>0</v>
      </c>
      <c r="I10" s="15">
        <v>0</v>
      </c>
      <c r="J10" s="32">
        <v>0</v>
      </c>
      <c r="P10" s="31"/>
      <c r="U10" s="23" t="s">
        <v>16</v>
      </c>
      <c r="V10" s="24">
        <f t="shared" si="0"/>
        <v>0.30927835051546393</v>
      </c>
      <c r="W10" s="16" t="s">
        <v>21</v>
      </c>
      <c r="X10" s="25">
        <f>J16*100</f>
        <v>60</v>
      </c>
      <c r="Y10" s="17">
        <f>X10/$X$16*100-Z12*18-(Z13-Z14)/4*10*18-Z14*18</f>
        <v>36.438364862112763</v>
      </c>
      <c r="Z10" s="1">
        <f>Z13/4</f>
        <v>7.6577737246713018E-3</v>
      </c>
    </row>
    <row r="11" spans="1:28" x14ac:dyDescent="0.2">
      <c r="E11" s="8" t="s">
        <v>22</v>
      </c>
      <c r="F11" s="15">
        <v>3.8144329896907223</v>
      </c>
      <c r="G11" s="15">
        <v>0.05</v>
      </c>
      <c r="H11" s="15">
        <v>0</v>
      </c>
      <c r="I11" s="15">
        <v>0</v>
      </c>
      <c r="J11" s="30">
        <v>2</v>
      </c>
      <c r="K11" s="33" t="s">
        <v>23</v>
      </c>
      <c r="P11" s="31"/>
      <c r="U11" s="23" t="s">
        <v>18</v>
      </c>
      <c r="V11" s="24">
        <f t="shared" si="0"/>
        <v>1.0309278350515465</v>
      </c>
      <c r="W11" s="16" t="s">
        <v>16</v>
      </c>
      <c r="X11" s="25">
        <f>V10+V11/(2*mK+mO)*(mNa*2+mO)</f>
        <v>0.80966294603315214</v>
      </c>
      <c r="Y11" s="17"/>
    </row>
    <row r="12" spans="1:28" ht="14.25" x14ac:dyDescent="0.25">
      <c r="E12" s="8" t="s">
        <v>24</v>
      </c>
      <c r="F12" s="34">
        <f>100-F13</f>
        <v>0</v>
      </c>
      <c r="G12" s="34">
        <f>100-G13</f>
        <v>4.9999999999997158E-2</v>
      </c>
      <c r="H12" s="34">
        <f>100-H13</f>
        <v>4.9999999999997158E-2</v>
      </c>
      <c r="I12" s="34">
        <f>100-I13</f>
        <v>0</v>
      </c>
      <c r="J12" s="35">
        <f>100-J13</f>
        <v>1.2000000000000171</v>
      </c>
      <c r="N12" s="36"/>
      <c r="P12" s="31"/>
      <c r="U12" s="23" t="s">
        <v>20</v>
      </c>
      <c r="V12" s="24">
        <f t="shared" si="0"/>
        <v>0</v>
      </c>
      <c r="W12" s="37" t="s">
        <v>12</v>
      </c>
      <c r="X12" s="38">
        <f>V7</f>
        <v>0</v>
      </c>
      <c r="Y12" s="17">
        <f>X12/$X$16*100</f>
        <v>0</v>
      </c>
      <c r="Z12" s="1">
        <f>Y12/(2*mFe+3*mO)</f>
        <v>0</v>
      </c>
      <c r="AA12" s="27">
        <f>Z12*2*(mFe+2*mO+mH)</f>
        <v>0</v>
      </c>
      <c r="AB12" s="1" t="s">
        <v>25</v>
      </c>
    </row>
    <row r="13" spans="1:28" ht="15" thickBot="1" x14ac:dyDescent="0.3">
      <c r="E13" s="8" t="s">
        <v>26</v>
      </c>
      <c r="F13" s="39">
        <f>SUM(F3:F11)</f>
        <v>100.00000000000003</v>
      </c>
      <c r="G13" s="39">
        <f>SUM(G3:G11)</f>
        <v>99.95</v>
      </c>
      <c r="H13" s="39">
        <f>SUM(H3:H11)</f>
        <v>99.95</v>
      </c>
      <c r="I13" s="39">
        <f>SUM(I3:I11)</f>
        <v>99.999999999999972</v>
      </c>
      <c r="J13" s="40">
        <f>SUM(J3:J11)</f>
        <v>98.799999999999983</v>
      </c>
      <c r="N13" s="36"/>
      <c r="P13" s="31"/>
      <c r="U13" s="23" t="s">
        <v>22</v>
      </c>
      <c r="V13" s="24">
        <f>(F11*F$14*F$18+G11*G$14*G$18+H11*H$14*H$18+I11*I$14*I$18)/100</f>
        <v>3.8144329896907219</v>
      </c>
      <c r="W13" s="37" t="s">
        <v>14</v>
      </c>
      <c r="X13" s="38">
        <f>V9</f>
        <v>1.9587628865979383</v>
      </c>
      <c r="Y13" s="17">
        <f>X13/$X$16*100</f>
        <v>1.2345679012345681</v>
      </c>
      <c r="Z13" s="1">
        <f>Y13/(mMg+mO)</f>
        <v>3.0631094898685207E-2</v>
      </c>
      <c r="AA13" s="27">
        <f>(IF(Z7-Z13/4&gt;0,Z13/4*(2*mAl+4*mMg+7*mO+10*(2*mH+mO)),Z7*(2*mAl+4*mMg+7*mO+10*(2*mH+mO))))</f>
        <v>3.3949336751028385</v>
      </c>
      <c r="AB13" s="36" t="s">
        <v>27</v>
      </c>
    </row>
    <row r="14" spans="1:28" ht="14.25" x14ac:dyDescent="0.25">
      <c r="A14" s="41" t="s">
        <v>146</v>
      </c>
      <c r="B14" s="42"/>
      <c r="E14" s="43" t="s">
        <v>28</v>
      </c>
      <c r="F14" s="44">
        <v>1</v>
      </c>
      <c r="G14" s="44">
        <v>1</v>
      </c>
      <c r="H14" s="44">
        <v>1</v>
      </c>
      <c r="I14" s="44">
        <v>0.4</v>
      </c>
      <c r="J14" s="45">
        <v>0.7</v>
      </c>
      <c r="N14" s="36"/>
      <c r="P14" s="31"/>
      <c r="U14" s="23" t="s">
        <v>24</v>
      </c>
      <c r="V14" s="24">
        <f>(F12*F$14*F$18+G12*G$14*G$18+H12*H$14*H$18+I12*I$14*I$18+J12*J$14*J$18+J11*J$14*J$18)/100</f>
        <v>0</v>
      </c>
      <c r="W14" s="37" t="s">
        <v>24</v>
      </c>
      <c r="X14" s="38">
        <f>V14</f>
        <v>0</v>
      </c>
      <c r="Y14" s="17"/>
      <c r="Z14" s="1">
        <f>(IF(Z7-Z13/4&gt;0,0,Z13-4*Z7))</f>
        <v>0</v>
      </c>
      <c r="AA14" s="46">
        <f>Z14*(mMg+2*mO+2*mH)</f>
        <v>0</v>
      </c>
      <c r="AB14" s="36" t="s">
        <v>29</v>
      </c>
    </row>
    <row r="15" spans="1:28" ht="14.25" x14ac:dyDescent="0.25">
      <c r="A15" s="47" t="s">
        <v>30</v>
      </c>
      <c r="B15" s="48"/>
      <c r="E15" s="8" t="s">
        <v>31</v>
      </c>
      <c r="F15" s="49">
        <v>3150</v>
      </c>
      <c r="G15" s="49">
        <v>2740</v>
      </c>
      <c r="H15" s="49">
        <v>2650</v>
      </c>
      <c r="I15" s="49">
        <v>2490</v>
      </c>
      <c r="J15" s="185">
        <v>2880</v>
      </c>
      <c r="N15" s="36"/>
      <c r="P15" s="31"/>
      <c r="U15" s="23" t="s">
        <v>21</v>
      </c>
      <c r="V15" s="24">
        <f>J16*SUM(F18:I18)</f>
        <v>60</v>
      </c>
      <c r="W15" s="16" t="s">
        <v>32</v>
      </c>
      <c r="X15" s="25">
        <f>X5+X6+X7+X8+X9+X12+X13</f>
        <v>98.659793814433002</v>
      </c>
      <c r="Y15" s="17">
        <f>X15/$X$16*100</f>
        <v>62.183235867446406</v>
      </c>
      <c r="AA15" s="50">
        <f>(IF(Z7-Z13/4&gt;0,Z13/4*(2*mAl+4*mMg+7*mO+0*(2*mH+mO)),Z7*(2*mAl+4*mMg+7*mO+0*(2*mH+mO))))</f>
        <v>2.0153642968368741</v>
      </c>
      <c r="AB15" s="50">
        <f>AA7+AA15-Y7-Y13+AA14/(mMg+2*mO+2*mH)*(mMg+mO)</f>
        <v>0</v>
      </c>
    </row>
    <row r="16" spans="1:28" ht="18" thickBot="1" x14ac:dyDescent="0.3">
      <c r="A16" s="51" t="s">
        <v>33</v>
      </c>
      <c r="B16" s="52"/>
      <c r="E16" s="43"/>
      <c r="F16" s="53"/>
      <c r="G16" s="54"/>
      <c r="I16" s="55" t="s">
        <v>34</v>
      </c>
      <c r="J16" s="56">
        <v>0.6</v>
      </c>
      <c r="N16" s="36"/>
      <c r="P16" s="31"/>
      <c r="U16" s="57"/>
      <c r="V16" s="58"/>
      <c r="W16" s="58"/>
      <c r="X16" s="59">
        <f>SUM(X5:X10,X12:X13)</f>
        <v>158.65979381443299</v>
      </c>
      <c r="Y16" s="60">
        <f>SUM(Y5:Y10,Y12:Y13)</f>
        <v>98.621600729559177</v>
      </c>
    </row>
    <row r="17" spans="5:28" ht="14.25" x14ac:dyDescent="0.25">
      <c r="E17" s="61" t="s">
        <v>35</v>
      </c>
      <c r="F17" s="62" t="s">
        <v>36</v>
      </c>
      <c r="G17" s="62" t="s">
        <v>37</v>
      </c>
      <c r="H17" s="62" t="s">
        <v>38</v>
      </c>
      <c r="I17" s="62" t="s">
        <v>145</v>
      </c>
      <c r="J17" s="40" t="s">
        <v>39</v>
      </c>
      <c r="N17" s="36"/>
      <c r="P17" s="31"/>
    </row>
    <row r="18" spans="5:28" ht="13.5" thickBot="1" x14ac:dyDescent="0.25">
      <c r="E18" s="63" t="s">
        <v>8</v>
      </c>
      <c r="F18" s="64">
        <f>100-G18-H18-I18-J18</f>
        <v>100</v>
      </c>
      <c r="G18" s="64">
        <v>0</v>
      </c>
      <c r="H18" s="64">
        <v>0</v>
      </c>
      <c r="I18" s="64">
        <v>0</v>
      </c>
      <c r="J18" s="65">
        <v>0</v>
      </c>
      <c r="N18" s="36"/>
      <c r="P18" s="31"/>
    </row>
    <row r="19" spans="5:28" ht="13.5" thickBot="1" x14ac:dyDescent="0.25">
      <c r="N19" s="36"/>
      <c r="P19" s="31"/>
      <c r="Q19" s="66"/>
      <c r="R19" s="67" t="s">
        <v>40</v>
      </c>
      <c r="S19" s="42"/>
      <c r="U19" s="68" t="s">
        <v>13</v>
      </c>
      <c r="V19" s="69">
        <f>'without thaumasite'!Y5</f>
        <v>38.666991506697293</v>
      </c>
      <c r="X19" s="70"/>
      <c r="Y19" s="70" t="s">
        <v>41</v>
      </c>
      <c r="AA19" s="71" t="str">
        <f t="shared" ref="AA19:AA24" si="1">R21</f>
        <v>water</v>
      </c>
      <c r="AB19" s="72">
        <f t="shared" ref="AB19:AB21" si="2">IF(R21="ettringite",S21*Y$22,IF(R21="monocarbonate",S21*Y$21,IF(R21="Hemicarbonate",S21*Y$20,IF(R21="monosulphate",S21*Y$23,IF(R21="hemisulphate",S21*Y$24,IF(R21="OH-AFm",S21*Y$25,IF(R21="hydrogarnet",S21*Y$26,0)))))))</f>
        <v>0</v>
      </c>
    </row>
    <row r="20" spans="5:28" x14ac:dyDescent="0.2">
      <c r="L20" s="73"/>
      <c r="M20" s="74" t="str">
        <f>R19</f>
        <v>output: hydrates</v>
      </c>
      <c r="N20" s="75"/>
      <c r="O20" s="76"/>
      <c r="Q20" s="47"/>
      <c r="R20" s="77"/>
      <c r="S20" s="78" t="s">
        <v>42</v>
      </c>
      <c r="U20" s="68" t="s">
        <v>3</v>
      </c>
      <c r="V20" s="69">
        <f>'without thaumasite'!Y6</f>
        <v>14.294996751137104</v>
      </c>
      <c r="X20" s="70" t="s">
        <v>43</v>
      </c>
      <c r="Y20" s="70">
        <f>(3*mCa +2*mAl+6*mO)/(4*mCa+7*mO +2*mAl+0.5*mC+1*mO+12*(2*mH+mO))</f>
        <v>0.47867677181620905</v>
      </c>
      <c r="AA20" s="71" t="str">
        <f t="shared" si="1"/>
        <v>portlandite</v>
      </c>
      <c r="AB20" s="72">
        <f t="shared" si="2"/>
        <v>0</v>
      </c>
    </row>
    <row r="21" spans="5:28" x14ac:dyDescent="0.2">
      <c r="L21" s="79"/>
      <c r="M21" s="80"/>
      <c r="N21" s="81" t="str">
        <f t="shared" ref="N21:N27" si="3">S20</f>
        <v>g/100 g hydrated binder</v>
      </c>
      <c r="O21" s="82"/>
      <c r="Q21" s="47"/>
      <c r="R21" s="83" t="str">
        <f>IF(H$63=1,H51,IF(I$63=1,I51,IF(J$63=1,J51,IF(K$63=1,K51,IF(L$63=1,L51,IF(M$63=1,M51,IF(N$63=1,N51,IF(O$63=1,O51,IF(P$63=1,P51,IF(Q$63=1,Q51,IF(R$63=1,R51,IF(S$63=1,S51,IF(T$63=1,T51,IF(U$63=1,U51,IF(V$63=1,V51,IF(W$63=1,W51,IF(X$63=1,X51,IF(Y$63=1,Y51,IF(Z$63=1,Z51,IF(AA$63=1,AA51,IF(AB$63=1,AB51,IF(AC$63=1,AC51,IF(AD$63=1,AD51,IF(AE$63=1,AE51,IF(AF$63=1,AF51,IF(AG$63=1,AG51,IF(AH$63=1,AH51,IF(AI$63=1,AI51,IF(AJ$63=1,AJ51,IF(AK$63=1,AK51,IF(AL$63=1,AL51,IF(AM$63=1,AM51,IF(AN$63=1,AN51,IF(AO$63=1,AO51,IF(AP$63=1,AP51,IF(AQ$63=1,AQ51,IF(B$63=1,B51,IF(C$63=1,C51,IF(D$63=1,D51,IF(E$63=1,E51,IF(F$63=1,F51,IF(G$63=1,G51,IF(AR$63=1,AR51,IF(AS$63=1,AS51,IF(AT$63=1,AT51,IF(AU$63=1,AU51,IF(AV$63=1,AV51,IF(AW$63=1,AW51,"?"))))))))))))))))))))))))))))))))))))))))))))))))</f>
        <v>water</v>
      </c>
      <c r="S21" s="84">
        <f>IF(H$63=1,H57,IF(I$63=1,I57,IF(J$63=1,J57,IF(K$63=1,K57,IF(L$63=1,L57,IF(M$63=1,M57,IF(N$63=1,N57,IF(O$63=1,O57,IF(P$63=1,P57,IF(Q$63=1,Q57,IF(R$63=1,R57,IF(S$63=1,S57,IF(T$63=1,T57,IF(U$63=1,U57,IF(V$63=1,V57,IF(W$63=1,W57,IF(X$63=1,X57,IF(Y$63=1,Y57,IF(Z$63=1,Z57,IF(AA$63=1,AA57,IF(AB$63=1,AB57,IF(AC$63=1,AC57,IF(AD$63=1,AD57,IF(AE$63=1,AE57,IF(AF$63=1,AF57,IF(AG$63=1,AG57,IF(AH$63=1,AH57,IF(AI$63=1,AI57,IF(AJ$63=1,AJ57,IF(AK$63=1,AK57,IF(AL$63=1,AL57,IF(AM$63=1,AM57,IF(AN$63=1,AN57,IF(AO$63=1,AO57,IF(AP$63=1,AP57,IF(AQ$63=1,AQ57,IF(B$63=1,B57,IF(C$63=1,C57,IF(D$63=1,D57,IF(E$63=1,E57,IF(F$63=1,F57,IF(G$63=1,G57,IF(AR$63=1,AR57,IF(AS$63=1,AS57,IF(AT$63=1,AT57,IF(AU$63=1,AU57,IF(AV$63=1,AV57,IF(AW$63=1,AW57,"?"))))))))))))))))))))))))))))))))))))))))))))))))</f>
        <v>9.299512921673692</v>
      </c>
      <c r="U21" s="68" t="s">
        <v>6</v>
      </c>
      <c r="V21" s="69">
        <f>'without thaumasite'!AA7</f>
        <v>3.1178390819805406</v>
      </c>
      <c r="X21" s="70" t="s">
        <v>44</v>
      </c>
      <c r="Y21" s="70">
        <f>(3*mCa +2*mAl+6*mO)/(4*mCa+7*mO +2*mAl+mC+2*mO+11*(2*mH+mO))</f>
        <v>0.47531721056201159</v>
      </c>
      <c r="AA21" s="71" t="str">
        <f t="shared" si="1"/>
        <v>C1.75A0.05SH4.3</v>
      </c>
      <c r="AB21" s="72">
        <f t="shared" si="2"/>
        <v>0</v>
      </c>
    </row>
    <row r="22" spans="5:28" x14ac:dyDescent="0.2">
      <c r="L22" s="79"/>
      <c r="M22" s="85" t="str">
        <f t="shared" ref="M22:M27" si="4">R21</f>
        <v>water</v>
      </c>
      <c r="N22" s="86">
        <f t="shared" si="3"/>
        <v>9.299512921673692</v>
      </c>
      <c r="O22" s="82"/>
      <c r="Q22" s="47"/>
      <c r="R22" s="83" t="str">
        <f t="shared" ref="R22:R25" si="5">IF(H$63=1,H52,IF(I$63=1,I52,IF(J$63=1,J52,IF(K$63=1,K52,IF(L$63=1,L52,IF(M$63=1,M52,IF(N$63=1,N52,IF(O$63=1,O52,IF(P$63=1,P52,IF(Q$63=1,Q52,IF(R$63=1,R52,IF(S$63=1,S52,IF(T$63=1,T52,IF(U$63=1,U52,IF(V$63=1,V52,IF(W$63=1,W52,IF(X$63=1,X52,IF(Y$63=1,Y52,IF(Z$63=1,Z52,IF(AA$63=1,AA52,IF(AB$63=1,AB52,IF(AC$63=1,AC52,IF(AD$63=1,AD52,IF(AE$63=1,AE52,IF(AF$63=1,AF52,IF(AG$63=1,AG52,IF(AH$63=1,AH52,IF(AI$63=1,AI52,IF(AJ$63=1,AJ52,IF(AK$63=1,AK52,IF(AL$63=1,AL52,IF(AM$63=1,AM52,IF(AN$63=1,AN52,IF(AO$63=1,AO52,IF(AP$63=1,AP52,IF(AQ$63=1,AQ52,IF(B$63=1,B52,IF(C$63=1,C52,IF(D$63=1,D52,IF(E$63=1,E52,IF(F$63=1,F52,IF(G$63=1,G52,IF(AR$63=1,AR52,IF(AS$63=1,AS52,IF(AT$63=1,AT52,IF(AU$63=1,AU52,IF(AV$63=1,AV52,IF(AW$63=1,AW52,"?"))))))))))))))))))))))))))))))))))))))))))))))))</f>
        <v>portlandite</v>
      </c>
      <c r="S22" s="84">
        <f t="shared" ref="S22:S26" si="6">IF(H$63=1,H58,IF(I$63=1,I58,IF(J$63=1,J58,IF(K$63=1,K58,IF(L$63=1,L58,IF(M$63=1,M58,IF(N$63=1,N58,IF(O$63=1,O58,IF(P$63=1,P58,IF(Q$63=1,Q58,IF(R$63=1,R58,IF(S$63=1,S58,IF(T$63=1,T58,IF(U$63=1,U58,IF(V$63=1,V58,IF(W$63=1,W58,IF(X$63=1,X58,IF(Y$63=1,Y58,IF(Z$63=1,Z58,IF(AA$63=1,AA58,IF(AB$63=1,AB58,IF(AC$63=1,AC58,IF(AD$63=1,AD58,IF(AE$63=1,AE58,IF(AF$63=1,AF58,IF(AG$63=1,AG58,IF(AH$63=1,AH58,IF(AI$63=1,AI58,IF(AJ$63=1,AJ58,IF(AK$63=1,AK58,IF(AL$63=1,AL58,IF(AM$63=1,AM58,IF(AN$63=1,AN58,IF(AO$63=1,AO58,IF(AP$63=1,AP58,IF(AQ$63=1,AQ58,IF(B$63=1,B58,IF(C$63=1,C58,IF(D$63=1,D58,IF(E$63=1,E58,IF(F$63=1,F58,IF(G$63=1,G58,IF(AR$63=1,AR58,IF(AS$63=1,AS58,IF(AT$63=1,AT58,IF(AU$63=1,AU58,IF(AV$63=1,AV58,IF(AW$63=1,AW58,"?"))))))))))))))))))))))))))))))))))))))))))))))))</f>
        <v>16.087588737434544</v>
      </c>
      <c r="U22" s="68" t="s">
        <v>17</v>
      </c>
      <c r="V22" s="69">
        <f>'without thaumasite'!Y8</f>
        <v>0</v>
      </c>
      <c r="X22" s="70" t="s">
        <v>45</v>
      </c>
      <c r="Y22" s="70">
        <f>(3*mCa +2*mAl+6*mO)/(6*mCa+9*mO +2*mAl+3*mS+9*mO+32*(2*mH+mO))</f>
        <v>0.2152752130013611</v>
      </c>
      <c r="AA22" s="71" t="str">
        <f>R24</f>
        <v>monosulphate</v>
      </c>
      <c r="AB22" s="72">
        <f>IF(R24="ettringite",S24*Y$22,IF(R24="monocarbonate",S24*Y$21,IF(R24="Hemicarbonate",S24*Y$20,IF(R24="monosulphate",S24*Y$23,IF(R24="hemisulphate",S24*Y$24,IF(R24="OH-AFm",S24*Y$25,IF(R24="hydrogarnet",S24*Y$26,0)))))))</f>
        <v>3.5153170373855356</v>
      </c>
    </row>
    <row r="23" spans="5:28" x14ac:dyDescent="0.2">
      <c r="L23" s="79"/>
      <c r="M23" s="85" t="str">
        <f t="shared" si="4"/>
        <v>portlandite</v>
      </c>
      <c r="N23" s="86">
        <f t="shared" si="3"/>
        <v>16.087588737434544</v>
      </c>
      <c r="O23" s="82"/>
      <c r="Q23" s="47"/>
      <c r="R23" s="83" t="str">
        <f t="shared" si="5"/>
        <v>C1.75A0.05SH4.3</v>
      </c>
      <c r="S23" s="84">
        <f t="shared" si="6"/>
        <v>56.000337781860075</v>
      </c>
      <c r="U23" s="68" t="s">
        <v>19</v>
      </c>
      <c r="V23" s="69">
        <f>'without thaumasite'!Y9</f>
        <v>4.088044230794587</v>
      </c>
      <c r="X23" s="70" t="s">
        <v>46</v>
      </c>
      <c r="Y23" s="70">
        <f>(3*mCa +2*mAl+6*mO)/(4*mCa+7*mO +2*mAl+mS+3*mO+12*(2*mH+mO))</f>
        <v>0.43403289205066081</v>
      </c>
      <c r="AA23" s="71" t="str">
        <f t="shared" si="1"/>
        <v>ettringite</v>
      </c>
      <c r="AB23" s="72">
        <f t="shared" ref="AB23:AB24" si="7">IF(R25="ettringite",S25*Y$22,IF(R25="monocarbonate",S25*Y$21,IF(R25="Hemicarbonate",S25*Y$20,IF(R25="monosulphate",S25*Y$23,IF(R25="hemisulphate",S25*Y$24,IF(R25="OH-AFm",S25*Y$25,IF(R25="hydrogarnet",S25*Y$26,0)))))))</f>
        <v>1.5326738311662211</v>
      </c>
    </row>
    <row r="24" spans="5:28" x14ac:dyDescent="0.2">
      <c r="L24" s="79"/>
      <c r="M24" s="85" t="str">
        <f t="shared" si="4"/>
        <v>C1.75A0.05SH4.3</v>
      </c>
      <c r="N24" s="86">
        <f t="shared" si="3"/>
        <v>56.000337781860075</v>
      </c>
      <c r="O24" s="87"/>
      <c r="Q24" s="47"/>
      <c r="R24" s="83" t="str">
        <f t="shared" si="5"/>
        <v>monosulphate</v>
      </c>
      <c r="S24" s="84">
        <f t="shared" si="6"/>
        <v>8.0991950190153421</v>
      </c>
      <c r="U24" s="68" t="s">
        <v>21</v>
      </c>
      <c r="V24" s="69">
        <f>'without thaumasite'!Y10</f>
        <v>36.438364862112763</v>
      </c>
      <c r="X24" s="70" t="s">
        <v>47</v>
      </c>
      <c r="Y24" s="70">
        <f>(3*mCa +2*mAl+6*mO)/(4*mCa+7*mO +2*mAl+0.5*(mS+3*mO)+12.5*(2*mH+mO))</f>
        <v>0.45679835813983549</v>
      </c>
      <c r="AA24" s="71" t="str">
        <f t="shared" si="1"/>
        <v>Hemicarbonate</v>
      </c>
      <c r="AB24" s="72">
        <f t="shared" si="7"/>
        <v>0</v>
      </c>
    </row>
    <row r="25" spans="5:28" x14ac:dyDescent="0.2">
      <c r="L25" s="79"/>
      <c r="M25" s="85" t="str">
        <f t="shared" si="4"/>
        <v>monosulphate</v>
      </c>
      <c r="N25" s="86">
        <f t="shared" si="3"/>
        <v>8.0991950190153421</v>
      </c>
      <c r="O25" s="82"/>
      <c r="Q25" s="47"/>
      <c r="R25" s="83" t="str">
        <f t="shared" si="5"/>
        <v>ettringite</v>
      </c>
      <c r="S25" s="84">
        <f t="shared" si="6"/>
        <v>7.1196019727386393</v>
      </c>
      <c r="U25" s="88" t="str">
        <f>U7</f>
        <v>Fe2O3</v>
      </c>
      <c r="V25" s="89">
        <f>Y12</f>
        <v>0</v>
      </c>
      <c r="X25" s="70" t="s">
        <v>48</v>
      </c>
      <c r="Y25" s="70">
        <f>(3*mCa +2*mAl+6*mO)/(4*mCa+7*mO +2*mAl+13*(2*mH+mO))</f>
        <v>0.48208416215777139</v>
      </c>
    </row>
    <row r="26" spans="5:28" x14ac:dyDescent="0.2">
      <c r="L26" s="79"/>
      <c r="M26" s="85" t="str">
        <f t="shared" si="4"/>
        <v>ettringite</v>
      </c>
      <c r="N26" s="86">
        <f t="shared" si="3"/>
        <v>7.1196019727386393</v>
      </c>
      <c r="O26" s="82"/>
      <c r="Q26" s="47"/>
      <c r="R26" s="83" t="str">
        <f>IF(H$63=1,H56,IF(I$63=1,I56,IF(J$63=1,J56,IF(K$63=1,K56,IF(L$63=1,L56,IF(M$63=1,M56,IF(N$63=1,N56,IF(O$63=1,O56,IF(P$63=1,P56,IF(Q$63=1,Q56,IF(R$63=1,R56,IF(S$63=1,S56,IF(T$63=1,T56,IF(U$63=1,U56,IF(V$63=1,V56,IF(W$63=1,W56,IF(X$63=1,X56,IF(Y$63=1,Y56,IF(Z$63=1,Z56,IF(AA$63=1,AA56,IF(AB$63=1,AB56,IF(AC$63=1,AC56,IF(AD$63=1,AD56,IF(AE$63=1,AE56,IF(AF$63=1,AF56,IF(AG$63=1,AG56,IF(AH$63=1,AH56,IF(AI$63=1,AI56,IF(AJ$63=1,AJ56,IF(AK$63=1,AK56,IF(AL$63=1,AL56,IF(AM$63=1,AM56,IF(AN$63=1,AN56,IF(AO$63=1,AO56,IF(AP$63=1,AP56,IF(AQ$63=1,AQ56,IF(B$63=1,B56,IF(C$63=1,C56,IF(D$63=1,D56,IF(E$63=1,E56,IF(F$63=1,F56,IF(G$63=1,G56,IF(AR$63=1,AR56,IF(AS$63=1,AS56,IF(AT$63=1,AT56,IF(AU$63=1,AU56,IF(AV$63=1,AV56,IF(AW$63=1,AW56,"?"))))))))))))))))))))))))))))))))))))))))))))))))</f>
        <v>Hemicarbonate</v>
      </c>
      <c r="S26" s="84">
        <f t="shared" si="6"/>
        <v>0</v>
      </c>
      <c r="U26" s="88" t="str">
        <f>U9</f>
        <v>MgO</v>
      </c>
      <c r="V26" s="89">
        <f>Y13</f>
        <v>1.2345679012345681</v>
      </c>
      <c r="X26" s="70" t="s">
        <v>151</v>
      </c>
      <c r="Y26" s="70">
        <f>(3*mCa +2*mAl+6*mO)/(3*mCa+6*mO +2*mAl+6*(2*mH+mO))</f>
        <v>0.7142587338835007</v>
      </c>
    </row>
    <row r="27" spans="5:28" x14ac:dyDescent="0.2">
      <c r="L27" s="79"/>
      <c r="M27" s="85" t="str">
        <f t="shared" si="4"/>
        <v>Hemicarbonate</v>
      </c>
      <c r="N27" s="86">
        <f t="shared" si="3"/>
        <v>0</v>
      </c>
      <c r="O27" s="82"/>
      <c r="Q27" s="47"/>
      <c r="R27" s="77"/>
      <c r="S27" s="90">
        <f>SUM(S21:S26)</f>
        <v>96.606236432722284</v>
      </c>
      <c r="U27" s="68" t="s">
        <v>32</v>
      </c>
      <c r="V27" s="69">
        <f>'without thaumasite'!Y15</f>
        <v>62.183235867446406</v>
      </c>
      <c r="X27" s="70" t="s">
        <v>46</v>
      </c>
      <c r="Y27" s="70">
        <f>(3*mCa +2*mAl+6*mO)/(4*mCa+7*mO +2*mAl+mS+3*mO+12*(2*mH+mO))</f>
        <v>0.43403289205066081</v>
      </c>
    </row>
    <row r="28" spans="5:28" x14ac:dyDescent="0.2">
      <c r="L28" s="79"/>
      <c r="M28" s="85" t="s">
        <v>25</v>
      </c>
      <c r="N28" s="86">
        <f>AA12</f>
        <v>0</v>
      </c>
      <c r="O28" s="82"/>
      <c r="Q28" s="47"/>
      <c r="R28" s="91" t="s">
        <v>49</v>
      </c>
      <c r="S28" s="84">
        <f>SUM(S32:S36)</f>
        <v>56.000337781860075</v>
      </c>
      <c r="U28" s="68" t="s">
        <v>50</v>
      </c>
      <c r="V28" s="92">
        <f>SUM(AB19:AB24)</f>
        <v>5.0479908685517572</v>
      </c>
      <c r="X28" s="70" t="s">
        <v>47</v>
      </c>
      <c r="Y28" s="70">
        <f>(3*mCa +2*mAl+6*mO)/(4*mCa+7*mO +2*mAl+0.5*(mS+3*mO)+12*(2*mH+mO))</f>
        <v>0.46386234384092973</v>
      </c>
    </row>
    <row r="29" spans="5:28" x14ac:dyDescent="0.2">
      <c r="L29" s="79"/>
      <c r="M29" s="85" t="s">
        <v>51</v>
      </c>
      <c r="N29" s="86">
        <f>AA13</f>
        <v>3.3949336751028385</v>
      </c>
      <c r="O29" s="82"/>
      <c r="Q29" s="47"/>
      <c r="R29" s="93" t="s">
        <v>52</v>
      </c>
      <c r="S29" s="94">
        <f>SUM(T32:T36)</f>
        <v>1.75</v>
      </c>
      <c r="V29" s="95">
        <f>SUM(V19:V27)</f>
        <v>160.02404020140327</v>
      </c>
    </row>
    <row r="30" spans="5:28" ht="13.5" thickBot="1" x14ac:dyDescent="0.25">
      <c r="L30" s="79"/>
      <c r="M30" s="85" t="str">
        <f>IF(AA14&gt;0,AB14,"")</f>
        <v/>
      </c>
      <c r="N30" s="86" t="str">
        <f>IF(AA14&gt;0,AA14,"")</f>
        <v/>
      </c>
      <c r="O30" s="82"/>
      <c r="Q30" s="51"/>
      <c r="R30" s="96" t="s">
        <v>53</v>
      </c>
      <c r="S30" s="97">
        <f>SUM(U32:U36)</f>
        <v>0.05</v>
      </c>
    </row>
    <row r="31" spans="5:28" x14ac:dyDescent="0.2">
      <c r="L31" s="79"/>
      <c r="M31" s="98" t="str">
        <f t="shared" ref="M31:N33" si="8">R28</f>
        <v>C-A-S-H total</v>
      </c>
      <c r="N31" s="99">
        <f t="shared" si="8"/>
        <v>56.000337781860075</v>
      </c>
      <c r="O31" s="82"/>
      <c r="T31" s="36" t="s">
        <v>54</v>
      </c>
      <c r="U31" s="36" t="s">
        <v>53</v>
      </c>
    </row>
    <row r="32" spans="5:28" x14ac:dyDescent="0.2">
      <c r="L32" s="79"/>
      <c r="M32" s="98" t="str">
        <f t="shared" si="8"/>
        <v>Ca/Si</v>
      </c>
      <c r="N32" s="86">
        <f>S29</f>
        <v>1.75</v>
      </c>
      <c r="O32" s="82"/>
      <c r="R32" s="95" t="str">
        <f>D$202</f>
        <v>C1.75SH4.4</v>
      </c>
      <c r="S32" s="100">
        <f>IF(R$22=R32,S$22,IF(R$23=R32,S$23,IF(R$24=R32,S$24,IF(R$25=R32,S$25,IF(R$26=R32,S$26,0)))))</f>
        <v>0</v>
      </c>
      <c r="T32" s="101">
        <f>S32*D219/S28</f>
        <v>0</v>
      </c>
      <c r="U32" s="101">
        <f>S32*D221/S28</f>
        <v>0</v>
      </c>
    </row>
    <row r="33" spans="1:21" ht="13.5" thickBot="1" x14ac:dyDescent="0.25">
      <c r="L33" s="102"/>
      <c r="M33" s="103" t="str">
        <f t="shared" si="8"/>
        <v>Al/Si</v>
      </c>
      <c r="N33" s="104">
        <f t="shared" si="8"/>
        <v>0.05</v>
      </c>
      <c r="O33" s="105"/>
      <c r="R33" s="95" t="str">
        <f>E$202</f>
        <v>C1.75A0.05SH4.3</v>
      </c>
      <c r="S33" s="100">
        <f>IF(R$22=R33,S$22,IF(R$23=R33,S$23,IF(R$24=R33,S$24,IF(R$25=R33,S$25,IF(R$26=R33,S$26,0)))))</f>
        <v>56.000337781860075</v>
      </c>
      <c r="T33" s="101">
        <f>S33*E219/S28</f>
        <v>1.75</v>
      </c>
      <c r="U33" s="101">
        <f>S33*E221/S28</f>
        <v>0.05</v>
      </c>
    </row>
    <row r="34" spans="1:21" x14ac:dyDescent="0.2">
      <c r="N34" s="95"/>
      <c r="R34" s="95" t="str">
        <f>F$202</f>
        <v>C1.3A0.1SH3</v>
      </c>
      <c r="S34" s="100">
        <f>IF(R$22=R34,S$22,IF(R$23=R34,S$23,IF(R$24=R34,S$24,IF(R$25=R34,S$25,IF(R$26=R34,S$26,0)))))</f>
        <v>0</v>
      </c>
      <c r="T34" s="101">
        <f>S34*F219/S28</f>
        <v>0</v>
      </c>
      <c r="U34" s="101">
        <f>S34*F221/S28</f>
        <v>0</v>
      </c>
    </row>
    <row r="35" spans="1:21" x14ac:dyDescent="0.2">
      <c r="R35" s="95" t="str">
        <f>G$202</f>
        <v>C0.67A0.05SH1.8</v>
      </c>
      <c r="S35" s="100">
        <f>IF(R$22=R35,S$22,IF(R$23=R35,S$23,IF(R$24=R35,S$24,IF(R$25=R35,S$25,IF(R$26=R35,S$26,0)))))</f>
        <v>0</v>
      </c>
      <c r="T35" s="101">
        <f>S35*G219/S28</f>
        <v>0</v>
      </c>
      <c r="U35" s="101">
        <f>S35*G221/S28</f>
        <v>0</v>
      </c>
    </row>
    <row r="36" spans="1:21" x14ac:dyDescent="0.2">
      <c r="R36" s="95" t="str">
        <f>H$202</f>
        <v>C0.67SH1.8</v>
      </c>
      <c r="S36" s="100">
        <f>IF(R$22=R36,S$22,IF(R$23=R36,S$23,IF(R$24=R36,S$24,IF(R$25=R36,S$25,IF(R$26=R36,S$26,0)))))</f>
        <v>0</v>
      </c>
      <c r="T36" s="101">
        <f>S36*H219/S28</f>
        <v>0</v>
      </c>
      <c r="U36" s="101">
        <f>S36*H221/S28</f>
        <v>0</v>
      </c>
    </row>
    <row r="37" spans="1:21" x14ac:dyDescent="0.2">
      <c r="R37" s="95"/>
    </row>
    <row r="43" spans="1:21" ht="15" customHeight="1" x14ac:dyDescent="0.2"/>
    <row r="47" spans="1:21" ht="14.25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ht="13.5" hidden="1" outlineLevel="1" thickBot="1" x14ac:dyDescent="0.25">
      <c r="A48" s="106" t="s">
        <v>55</v>
      </c>
    </row>
    <row r="49" spans="2:49" hidden="1" outlineLevel="1" x14ac:dyDescent="0.2">
      <c r="B49" s="107">
        <v>1</v>
      </c>
      <c r="C49" s="108"/>
      <c r="D49" s="108"/>
      <c r="E49" s="108"/>
      <c r="F49" s="108"/>
      <c r="G49" s="108"/>
      <c r="H49" s="108">
        <v>2</v>
      </c>
      <c r="I49" s="108"/>
      <c r="J49" s="108"/>
      <c r="K49" s="108"/>
      <c r="L49" s="108"/>
      <c r="M49" s="108"/>
      <c r="N49" s="108">
        <v>3</v>
      </c>
      <c r="O49" s="108"/>
      <c r="P49" s="108"/>
      <c r="Q49" s="109"/>
      <c r="R49" s="109"/>
      <c r="S49" s="109"/>
      <c r="T49" s="108">
        <v>4</v>
      </c>
      <c r="U49" s="108"/>
      <c r="V49" s="108"/>
      <c r="W49" s="108"/>
      <c r="X49" s="108"/>
      <c r="Y49" s="108"/>
      <c r="Z49" s="108">
        <v>5</v>
      </c>
      <c r="AA49" s="108"/>
      <c r="AB49" s="108"/>
      <c r="AC49" s="108"/>
      <c r="AD49" s="108"/>
      <c r="AE49" s="108"/>
      <c r="AF49" s="108">
        <v>6</v>
      </c>
      <c r="AG49" s="108">
        <v>6</v>
      </c>
      <c r="AH49" s="108">
        <v>7</v>
      </c>
      <c r="AI49" s="108">
        <v>7</v>
      </c>
      <c r="AJ49" s="108">
        <v>8</v>
      </c>
      <c r="AK49" s="108">
        <v>8</v>
      </c>
      <c r="AL49" s="108">
        <v>9</v>
      </c>
      <c r="AM49" s="108">
        <v>9</v>
      </c>
      <c r="AN49" s="108">
        <v>10</v>
      </c>
      <c r="AO49" s="108">
        <v>11</v>
      </c>
      <c r="AP49" s="108">
        <v>12</v>
      </c>
      <c r="AQ49" s="108">
        <v>13</v>
      </c>
      <c r="AR49" s="108">
        <v>14</v>
      </c>
      <c r="AS49" s="108">
        <v>10</v>
      </c>
      <c r="AT49" s="108">
        <v>11</v>
      </c>
      <c r="AU49" s="108">
        <v>12</v>
      </c>
      <c r="AV49" s="108">
        <v>13</v>
      </c>
      <c r="AW49" s="110">
        <v>14</v>
      </c>
    </row>
    <row r="50" spans="2:49" hidden="1" outlineLevel="1" x14ac:dyDescent="0.2">
      <c r="B50" s="111">
        <v>21</v>
      </c>
      <c r="C50" s="112">
        <v>22</v>
      </c>
      <c r="D50" s="112">
        <v>23</v>
      </c>
      <c r="E50" s="112">
        <v>24</v>
      </c>
      <c r="F50" s="112">
        <v>25</v>
      </c>
      <c r="G50" s="112">
        <v>26</v>
      </c>
      <c r="H50" s="112">
        <v>21</v>
      </c>
      <c r="I50" s="112">
        <v>22</v>
      </c>
      <c r="J50" s="112">
        <v>23</v>
      </c>
      <c r="K50" s="112">
        <v>24</v>
      </c>
      <c r="L50" s="112">
        <v>25</v>
      </c>
      <c r="M50" s="112">
        <v>26</v>
      </c>
      <c r="N50" s="112">
        <v>21</v>
      </c>
      <c r="O50" s="112">
        <v>22</v>
      </c>
      <c r="P50" s="112">
        <v>23</v>
      </c>
      <c r="Q50" s="112">
        <v>24</v>
      </c>
      <c r="R50" s="112">
        <v>25</v>
      </c>
      <c r="S50" s="112">
        <v>26</v>
      </c>
      <c r="T50" s="112">
        <v>21</v>
      </c>
      <c r="U50" s="112">
        <v>22</v>
      </c>
      <c r="V50" s="112">
        <v>23</v>
      </c>
      <c r="W50" s="112">
        <v>24</v>
      </c>
      <c r="X50" s="112">
        <v>25</v>
      </c>
      <c r="Y50" s="112">
        <v>26</v>
      </c>
      <c r="Z50" s="112">
        <v>21</v>
      </c>
      <c r="AA50" s="112">
        <v>22</v>
      </c>
      <c r="AB50" s="112">
        <v>23</v>
      </c>
      <c r="AC50" s="112">
        <v>24</v>
      </c>
      <c r="AD50" s="112">
        <v>25</v>
      </c>
      <c r="AE50" s="112">
        <v>26</v>
      </c>
      <c r="AF50" s="112">
        <v>25</v>
      </c>
      <c r="AG50" s="112">
        <v>26</v>
      </c>
      <c r="AH50" s="112">
        <v>25</v>
      </c>
      <c r="AI50" s="112">
        <v>26</v>
      </c>
      <c r="AJ50" s="112">
        <v>25</v>
      </c>
      <c r="AK50" s="112">
        <v>26</v>
      </c>
      <c r="AL50" s="112">
        <v>25</v>
      </c>
      <c r="AM50" s="112">
        <v>26</v>
      </c>
      <c r="AN50" s="112">
        <v>25</v>
      </c>
      <c r="AO50" s="112">
        <v>25</v>
      </c>
      <c r="AP50" s="112">
        <v>25</v>
      </c>
      <c r="AQ50" s="112">
        <v>25</v>
      </c>
      <c r="AR50" s="112">
        <v>25</v>
      </c>
      <c r="AS50" s="112">
        <v>26</v>
      </c>
      <c r="AT50" s="112">
        <v>26</v>
      </c>
      <c r="AU50" s="112">
        <v>26</v>
      </c>
      <c r="AV50" s="112">
        <v>26</v>
      </c>
      <c r="AW50" s="113">
        <v>26</v>
      </c>
    </row>
    <row r="51" spans="2:49" hidden="1" outlineLevel="1" x14ac:dyDescent="0.2">
      <c r="B51" s="114" t="str">
        <f>$C$79</f>
        <v>water</v>
      </c>
      <c r="C51" s="115" t="str">
        <f>$K$79</f>
        <v>water</v>
      </c>
      <c r="D51" s="115" t="str">
        <f>$S$79</f>
        <v>water</v>
      </c>
      <c r="E51" s="115" t="str">
        <f>$AA$79</f>
        <v>water</v>
      </c>
      <c r="F51" s="115" t="str">
        <f>$AI$79</f>
        <v>water</v>
      </c>
      <c r="G51" s="115" t="str">
        <f>$AQ$79</f>
        <v>water</v>
      </c>
      <c r="H51" s="115" t="str">
        <f>$C$96</f>
        <v>water</v>
      </c>
      <c r="I51" s="115" t="str">
        <f>$K$96</f>
        <v>water</v>
      </c>
      <c r="J51" s="115" t="str">
        <f>$S$96</f>
        <v>water</v>
      </c>
      <c r="K51" s="115" t="str">
        <f>$AA$96</f>
        <v>water</v>
      </c>
      <c r="L51" s="115" t="str">
        <f>$AI$96</f>
        <v>water</v>
      </c>
      <c r="M51" s="115" t="str">
        <f>$AQ$96</f>
        <v>water</v>
      </c>
      <c r="N51" s="115" t="str">
        <f>$C$112</f>
        <v>water</v>
      </c>
      <c r="O51" s="115" t="str">
        <f>$K$112</f>
        <v>water</v>
      </c>
      <c r="P51" s="115" t="str">
        <f>$S$112</f>
        <v>water</v>
      </c>
      <c r="Q51" s="115" t="str">
        <f>$AA$112</f>
        <v>water</v>
      </c>
      <c r="R51" s="115" t="str">
        <f>$AI$112</f>
        <v>water</v>
      </c>
      <c r="S51" s="115" t="str">
        <f>$AQ$112</f>
        <v>water</v>
      </c>
      <c r="T51" s="115" t="str">
        <f>$C$129</f>
        <v>water</v>
      </c>
      <c r="U51" s="115" t="str">
        <f>$K$129</f>
        <v>water</v>
      </c>
      <c r="V51" s="115" t="str">
        <f>$S$129</f>
        <v>water</v>
      </c>
      <c r="W51" s="115" t="str">
        <f>$AA$129</f>
        <v>water</v>
      </c>
      <c r="X51" s="115" t="str">
        <f>$AI$129</f>
        <v>water</v>
      </c>
      <c r="Y51" s="115" t="str">
        <f>$AQ$129</f>
        <v>water</v>
      </c>
      <c r="Z51" s="115" t="str">
        <f>$C$146</f>
        <v>water</v>
      </c>
      <c r="AA51" s="115" t="str">
        <f>$K$146</f>
        <v>water</v>
      </c>
      <c r="AB51" s="115" t="str">
        <f>$S$146</f>
        <v>water</v>
      </c>
      <c r="AC51" s="115" t="str">
        <f>$AA$146</f>
        <v>water</v>
      </c>
      <c r="AD51" s="115" t="str">
        <f>$AI$146</f>
        <v>water</v>
      </c>
      <c r="AE51" s="115" t="str">
        <f>$AQ$146</f>
        <v>water</v>
      </c>
      <c r="AF51" s="115" t="str">
        <f>$C$180</f>
        <v>water</v>
      </c>
      <c r="AG51" s="115" t="str">
        <f>$C$163</f>
        <v>water</v>
      </c>
      <c r="AH51" s="115" t="str">
        <f>$K$180</f>
        <v>water</v>
      </c>
      <c r="AI51" s="115" t="str">
        <f>$K$163</f>
        <v>water</v>
      </c>
      <c r="AJ51" s="115" t="str">
        <f>$S$180</f>
        <v>water</v>
      </c>
      <c r="AK51" s="115" t="str">
        <f>$S$163</f>
        <v>water</v>
      </c>
      <c r="AL51" s="115" t="str">
        <f>$AA$180</f>
        <v>water</v>
      </c>
      <c r="AM51" s="115" t="str">
        <f>$AA$163</f>
        <v>water</v>
      </c>
      <c r="AN51" s="115" t="str">
        <f>$AI$180</f>
        <v>water</v>
      </c>
      <c r="AO51" s="115" t="str">
        <f>$AQ$180</f>
        <v>water</v>
      </c>
      <c r="AP51" s="115" t="str">
        <f>$AY$180</f>
        <v>water</v>
      </c>
      <c r="AQ51" s="115" t="str">
        <f>$BG$180</f>
        <v>water</v>
      </c>
      <c r="AR51" s="115" t="str">
        <f>$BO$180</f>
        <v>water</v>
      </c>
      <c r="AS51" s="115" t="str">
        <f>$AI$163</f>
        <v>water</v>
      </c>
      <c r="AT51" s="115" t="str">
        <f>$AQ$163</f>
        <v>water</v>
      </c>
      <c r="AU51" s="115" t="str">
        <f>$AY$163</f>
        <v>water</v>
      </c>
      <c r="AV51" s="115" t="str">
        <f>$BG$163</f>
        <v>water</v>
      </c>
      <c r="AW51" s="116" t="str">
        <f>$BO$163</f>
        <v>water</v>
      </c>
    </row>
    <row r="52" spans="2:49" hidden="1" outlineLevel="1" x14ac:dyDescent="0.2">
      <c r="B52" s="114" t="str">
        <f>$D$79</f>
        <v>portlandite</v>
      </c>
      <c r="C52" s="115" t="str">
        <f>$L$79</f>
        <v>portlandite</v>
      </c>
      <c r="D52" s="115" t="str">
        <f>$T$79</f>
        <v>portlandite</v>
      </c>
      <c r="E52" s="115" t="str">
        <f>$AB$79</f>
        <v>portlandite</v>
      </c>
      <c r="F52" s="115" t="str">
        <f>$AJ$79</f>
        <v>portlandite</v>
      </c>
      <c r="G52" s="115" t="str">
        <f>$AR$79</f>
        <v>portlandite</v>
      </c>
      <c r="H52" s="115" t="str">
        <f>$D$96</f>
        <v>portlandite</v>
      </c>
      <c r="I52" s="115" t="str">
        <f>$L$96</f>
        <v>portlandite</v>
      </c>
      <c r="J52" s="115" t="str">
        <f>$T$96</f>
        <v>portlandite</v>
      </c>
      <c r="K52" s="115" t="str">
        <f>$AB$96</f>
        <v>portlandite</v>
      </c>
      <c r="L52" s="115" t="str">
        <f>$AJ$96</f>
        <v>portlandite</v>
      </c>
      <c r="M52" s="115" t="str">
        <f>$AR$96</f>
        <v>portlandite</v>
      </c>
      <c r="N52" s="115" t="str">
        <f>$D$112</f>
        <v>C1.3A0.1SH3</v>
      </c>
      <c r="O52" s="115" t="str">
        <f>$L$112</f>
        <v>C1.3A0.1SH3</v>
      </c>
      <c r="P52" s="115" t="str">
        <f>$T$112</f>
        <v>C1.3A0.1SH3</v>
      </c>
      <c r="Q52" s="115" t="str">
        <f>$AB$112</f>
        <v>C1.3A0.1SH3</v>
      </c>
      <c r="R52" s="115" t="str">
        <f>$AJ$112</f>
        <v>C1.3A0.1SH3</v>
      </c>
      <c r="S52" s="115" t="str">
        <f>$AR$112</f>
        <v>C1.3A0.1SH3</v>
      </c>
      <c r="T52" s="115" t="str">
        <f>$D$129</f>
        <v>C1.3A0.1SH3</v>
      </c>
      <c r="U52" s="115" t="str">
        <f>$L$129</f>
        <v>C1.3A0.1SH3</v>
      </c>
      <c r="V52" s="115" t="str">
        <f>$T$129</f>
        <v>C1.3A0.1SH3</v>
      </c>
      <c r="W52" s="115" t="str">
        <f>$AB$129</f>
        <v>C1.3A0.1SH3</v>
      </c>
      <c r="X52" s="115" t="str">
        <f>$AJ$129</f>
        <v>C1.3A0.1SH3</v>
      </c>
      <c r="Y52" s="115" t="str">
        <f>$AR$129</f>
        <v>C1.3A0.1SH3</v>
      </c>
      <c r="Z52" s="115" t="str">
        <f>$D$146</f>
        <v>AH3</v>
      </c>
      <c r="AA52" s="115" t="str">
        <f>$L$146</f>
        <v>AH3</v>
      </c>
      <c r="AB52" s="115" t="str">
        <f>$T$146</f>
        <v>AH3</v>
      </c>
      <c r="AC52" s="115" t="str">
        <f>$AB$146</f>
        <v>AH3</v>
      </c>
      <c r="AD52" s="115" t="str">
        <f>$AJ$146</f>
        <v>AH3</v>
      </c>
      <c r="AE52" s="115" t="str">
        <f>$AR$146</f>
        <v>AH3</v>
      </c>
      <c r="AF52" s="115" t="str">
        <f>$D$180</f>
        <v>strätlingite</v>
      </c>
      <c r="AG52" s="115" t="str">
        <f>$D$163</f>
        <v>strätlingite</v>
      </c>
      <c r="AH52" s="115" t="str">
        <f>$L$180</f>
        <v>SiO2</v>
      </c>
      <c r="AI52" s="115" t="str">
        <f>$L$163</f>
        <v>SiO2</v>
      </c>
      <c r="AJ52" s="115" t="str">
        <f>$T$180</f>
        <v>strätlingite</v>
      </c>
      <c r="AK52" s="115" t="str">
        <f>$T$163</f>
        <v>strätlingite</v>
      </c>
      <c r="AL52" s="115" t="str">
        <f>$AB$180</f>
        <v>SiO2</v>
      </c>
      <c r="AM52" s="115" t="str">
        <f>$AB$163</f>
        <v>SiO2</v>
      </c>
      <c r="AN52" s="115" t="str">
        <f>$AJ$180</f>
        <v>SiO2</v>
      </c>
      <c r="AO52" s="115" t="str">
        <f>$AR$180</f>
        <v>C1.3A0.1SH3</v>
      </c>
      <c r="AP52" s="115" t="str">
        <f>$AZ$180</f>
        <v>C1.3A0.1SH3</v>
      </c>
      <c r="AQ52" s="115" t="str">
        <f>$BH$180</f>
        <v>C1.3A0.1SH3</v>
      </c>
      <c r="AR52" s="115" t="str">
        <f>$BP$180</f>
        <v>C1.3A0.1SH3</v>
      </c>
      <c r="AS52" s="115" t="str">
        <f>$AJ$163</f>
        <v>SiO2</v>
      </c>
      <c r="AT52" s="115" t="str">
        <f>$AR$163</f>
        <v>C1.3A0.1SH3</v>
      </c>
      <c r="AU52" s="115" t="str">
        <f>$AZ$163</f>
        <v>C1.3A0.1SH3</v>
      </c>
      <c r="AV52" s="115" t="str">
        <f>$BH$163</f>
        <v>C1.3A0.1SH3</v>
      </c>
      <c r="AW52" s="116" t="str">
        <f>$BP$163</f>
        <v>C1.3A0.1SH3</v>
      </c>
    </row>
    <row r="53" spans="2:49" hidden="1" outlineLevel="1" x14ac:dyDescent="0.2">
      <c r="B53" s="117" t="str">
        <f>$E$79</f>
        <v>C1.75SH4.4</v>
      </c>
      <c r="C53" s="118" t="str">
        <f>$M$79</f>
        <v>C1.75SH4.4</v>
      </c>
      <c r="D53" s="118" t="str">
        <f>$U$79</f>
        <v>C1.75SH4.4</v>
      </c>
      <c r="E53" s="118" t="str">
        <f>$AC$79</f>
        <v>C1.75SH4.4</v>
      </c>
      <c r="F53" s="118" t="str">
        <f>$AK$79</f>
        <v>C1.75SH4.4</v>
      </c>
      <c r="G53" s="118" t="str">
        <f>$AS$79</f>
        <v>C1.75SH4.4</v>
      </c>
      <c r="H53" s="115" t="str">
        <f>$E$96</f>
        <v>C1.75A0.05SH4.3</v>
      </c>
      <c r="I53" s="115" t="str">
        <f>$M$96</f>
        <v>C1.75A0.05SH4.3</v>
      </c>
      <c r="J53" s="115" t="str">
        <f>$U$96</f>
        <v>C1.75A0.05SH4.3</v>
      </c>
      <c r="K53" s="115" t="str">
        <f>$AC$96</f>
        <v>C1.75A0.05SH4.3</v>
      </c>
      <c r="L53" s="115" t="str">
        <f>$AK$96</f>
        <v>C1.75A0.05SH4.3</v>
      </c>
      <c r="M53" s="115" t="str">
        <f>$AS$96</f>
        <v>C1.75A0.05SH4.3</v>
      </c>
      <c r="N53" s="115" t="str">
        <f>$E$112</f>
        <v>C1.75A0.05SH4.3</v>
      </c>
      <c r="O53" s="115" t="str">
        <f>$M$112</f>
        <v>C1.75A0.05SH4.3</v>
      </c>
      <c r="P53" s="115" t="str">
        <f>$U$112</f>
        <v>C1.75A0.05SH4.3</v>
      </c>
      <c r="Q53" s="115" t="str">
        <f>$AC$112</f>
        <v>C1.75A0.05SH4.3</v>
      </c>
      <c r="R53" s="115" t="str">
        <f>$AK$112</f>
        <v>C1.75A0.05SH4.3</v>
      </c>
      <c r="S53" s="115" t="str">
        <f>$AS$112</f>
        <v>C1.75A0.05SH4.3</v>
      </c>
      <c r="T53" s="115" t="str">
        <f>$E$129</f>
        <v>strätlingite</v>
      </c>
      <c r="U53" s="115" t="str">
        <f>$M$129</f>
        <v>strätlingite</v>
      </c>
      <c r="V53" s="115" t="str">
        <f>$U$129</f>
        <v>strätlingite</v>
      </c>
      <c r="W53" s="115" t="str">
        <f>$AC$129</f>
        <v>strätlingite</v>
      </c>
      <c r="X53" s="115" t="str">
        <f>$AK$129</f>
        <v>strätlingite</v>
      </c>
      <c r="Y53" s="115" t="str">
        <f>$AS$129</f>
        <v>strätlingite</v>
      </c>
      <c r="Z53" s="115" t="str">
        <f>$E$146</f>
        <v>strätlingite</v>
      </c>
      <c r="AA53" s="115" t="str">
        <f>$M$146</f>
        <v>strätlingite</v>
      </c>
      <c r="AB53" s="115" t="str">
        <f>$U$146</f>
        <v>strätlingite</v>
      </c>
      <c r="AC53" s="115" t="str">
        <f>$AC$146</f>
        <v>strätlingite</v>
      </c>
      <c r="AD53" s="115" t="str">
        <f>$AK$146</f>
        <v>strätlingite</v>
      </c>
      <c r="AE53" s="115" t="str">
        <f>$AS$146</f>
        <v>strätlingite</v>
      </c>
      <c r="AF53" s="115" t="str">
        <f>$E$180</f>
        <v>Ca-stilbite</v>
      </c>
      <c r="AG53" s="115" t="str">
        <f>$E$163</f>
        <v>Ca-stilbite</v>
      </c>
      <c r="AH53" s="115" t="str">
        <f>$M$180</f>
        <v>Ca-stilbite</v>
      </c>
      <c r="AI53" s="115" t="str">
        <f>$M$163</f>
        <v>Ca-stilbite</v>
      </c>
      <c r="AJ53" s="115" t="str">
        <f>$U$180</f>
        <v>Ca-stilbite</v>
      </c>
      <c r="AK53" s="115" t="str">
        <f>$U$163</f>
        <v>Ca-stilbite</v>
      </c>
      <c r="AL53" s="115" t="str">
        <f>$AC$180</f>
        <v>Ca-stilbite</v>
      </c>
      <c r="AM53" s="115" t="str">
        <f>$AC$163</f>
        <v>Ca-stilbite</v>
      </c>
      <c r="AN53" s="115" t="str">
        <f>$AK$180</f>
        <v>C0.67SH1.8</v>
      </c>
      <c r="AO53" s="115" t="str">
        <f>$AS$180</f>
        <v>strätlingite</v>
      </c>
      <c r="AP53" s="115" t="str">
        <f>$BA$180</f>
        <v>C0.67SH1.8</v>
      </c>
      <c r="AQ53" s="115" t="str">
        <f>$BI$180</f>
        <v>C1.75A0.05SH4.3</v>
      </c>
      <c r="AR53" s="115" t="str">
        <f>$BQ$180</f>
        <v>C0.67SH1.8</v>
      </c>
      <c r="AS53" s="115" t="str">
        <f>$AK$163</f>
        <v>C0.67SH1.8</v>
      </c>
      <c r="AT53" s="115" t="str">
        <f>$AS$163</f>
        <v>strätlingite</v>
      </c>
      <c r="AU53" s="115" t="str">
        <f>$BA$163</f>
        <v>C0.67SH1.8</v>
      </c>
      <c r="AV53" s="115" t="str">
        <f>$BI$163</f>
        <v>C1.75A0.05SH4.3</v>
      </c>
      <c r="AW53" s="116" t="str">
        <f>$BQ$163</f>
        <v>C0.67SH1.8</v>
      </c>
    </row>
    <row r="54" spans="2:49" hidden="1" outlineLevel="1" x14ac:dyDescent="0.2">
      <c r="B54" s="114" t="str">
        <f>$F$79</f>
        <v>Hydrogarnet</v>
      </c>
      <c r="C54" s="115" t="str">
        <f>$N$79</f>
        <v>monosulphate</v>
      </c>
      <c r="D54" s="115" t="str">
        <f>$V$79</f>
        <v>monosulphate</v>
      </c>
      <c r="E54" s="115" t="str">
        <f>$AD$79</f>
        <v>Hemicarbonate</v>
      </c>
      <c r="F54" s="115" t="str">
        <f>$AL$79</f>
        <v>ettringite</v>
      </c>
      <c r="G54" s="115" t="str">
        <f>$AT$79</f>
        <v>ettringite</v>
      </c>
      <c r="H54" s="115" t="str">
        <f>$F$96</f>
        <v>Hydrogarnet</v>
      </c>
      <c r="I54" s="115" t="str">
        <f>$N$96</f>
        <v>monosulphate</v>
      </c>
      <c r="J54" s="115" t="str">
        <f>$V$96</f>
        <v>monosulphate</v>
      </c>
      <c r="K54" s="115" t="str">
        <f>$AD$96</f>
        <v>Hemicarbonate</v>
      </c>
      <c r="L54" s="115" t="str">
        <f>$AL$96</f>
        <v>ettringite</v>
      </c>
      <c r="M54" s="115" t="str">
        <f>$AT$96</f>
        <v>ettringite</v>
      </c>
      <c r="N54" s="115" t="str">
        <f>$F$112</f>
        <v>Hydrogarnet</v>
      </c>
      <c r="O54" s="115" t="str">
        <f>$N$112</f>
        <v>monosulphate</v>
      </c>
      <c r="P54" s="115" t="str">
        <f>$V$112</f>
        <v>monosulphate</v>
      </c>
      <c r="Q54" s="115" t="str">
        <f>$AD$112</f>
        <v>Hemicarbonate</v>
      </c>
      <c r="R54" s="115" t="str">
        <f>$AL$112</f>
        <v>ettringite</v>
      </c>
      <c r="S54" s="115" t="str">
        <f>$AT$112</f>
        <v>ettringite</v>
      </c>
      <c r="T54" s="115" t="str">
        <f>$F$129</f>
        <v>Hydrogarnet</v>
      </c>
      <c r="U54" s="115" t="str">
        <f>$N$129</f>
        <v>monosulphate</v>
      </c>
      <c r="V54" s="115" t="str">
        <f>$V$129</f>
        <v>monosulphate</v>
      </c>
      <c r="W54" s="115" t="str">
        <f>$AD$129</f>
        <v>Hemicarbonate</v>
      </c>
      <c r="X54" s="115" t="str">
        <f>$AL$129</f>
        <v>ettringite</v>
      </c>
      <c r="Y54" s="115" t="str">
        <f>$AT$129</f>
        <v>ettringite</v>
      </c>
      <c r="Z54" s="115" t="str">
        <f>$F$146</f>
        <v>Hydrogarnet</v>
      </c>
      <c r="AA54" s="115" t="str">
        <f>$N$146</f>
        <v>monosulphate</v>
      </c>
      <c r="AB54" s="115" t="str">
        <f>$V$146</f>
        <v>monosulphate</v>
      </c>
      <c r="AC54" s="115" t="str">
        <f>$AD$146</f>
        <v>Hemicarbonate</v>
      </c>
      <c r="AD54" s="115" t="str">
        <f>$AL$146</f>
        <v>ettringite</v>
      </c>
      <c r="AE54" s="115" t="str">
        <f>$AT$146</f>
        <v>ettringite</v>
      </c>
      <c r="AF54" s="115" t="str">
        <f>$F$180</f>
        <v>AH3</v>
      </c>
      <c r="AG54" s="115" t="str">
        <f>$F$163</f>
        <v>AH3</v>
      </c>
      <c r="AH54" s="115" t="str">
        <f>$N$180</f>
        <v>C0.67A0.05SH1.8</v>
      </c>
      <c r="AI54" s="115" t="str">
        <f>$N$163</f>
        <v>AH3</v>
      </c>
      <c r="AJ54" s="115" t="str">
        <f>$V$180</f>
        <v>C0.67A0.05SH1.8</v>
      </c>
      <c r="AK54" s="115" t="str">
        <f>$V$163</f>
        <v>C0.67A0.05SH1.8</v>
      </c>
      <c r="AL54" s="115" t="str">
        <f>$AD$180</f>
        <v>C0.67A0.05SH1.8</v>
      </c>
      <c r="AM54" s="115" t="str">
        <f>$AD$163</f>
        <v>C0.67A0.05SH1.8</v>
      </c>
      <c r="AN54" s="115" t="str">
        <f>$AL$180</f>
        <v>C0.67A0.05SH1.8</v>
      </c>
      <c r="AO54" s="115" t="str">
        <f>$AT$180</f>
        <v>C0.67A0.05SH1.8</v>
      </c>
      <c r="AP54" s="115" t="str">
        <f>$BB$180</f>
        <v>C0.67A0.05SH1.8</v>
      </c>
      <c r="AQ54" s="115" t="str">
        <f>$BJ$180</f>
        <v>C1.75SH4.4</v>
      </c>
      <c r="AR54" s="115" t="str">
        <f>$BR$180</f>
        <v>C1.75SH4.4</v>
      </c>
      <c r="AS54" s="115" t="str">
        <f>$AL$163</f>
        <v>C0.67A0.05SH1.8</v>
      </c>
      <c r="AT54" s="115" t="str">
        <f>$AT$163</f>
        <v>C0.67A0.05SH1.8</v>
      </c>
      <c r="AU54" s="115" t="str">
        <f>$BB$163</f>
        <v>C0.67A0.05SH1.8</v>
      </c>
      <c r="AV54" s="115" t="str">
        <f>$BJ$163</f>
        <v>C1.75SH4.4</v>
      </c>
      <c r="AW54" s="116" t="str">
        <f>$BR$163</f>
        <v>C1.75SH4.4</v>
      </c>
    </row>
    <row r="55" spans="2:49" hidden="1" outlineLevel="1" x14ac:dyDescent="0.2">
      <c r="B55" s="114" t="str">
        <f>$G$79</f>
        <v>Hemicarbonate</v>
      </c>
      <c r="C55" s="115" t="str">
        <f>$O$79</f>
        <v>Hemisulphate</v>
      </c>
      <c r="D55" s="115" t="str">
        <f>$W$79</f>
        <v>ettringite</v>
      </c>
      <c r="E55" s="115" t="str">
        <f>$AE$79</f>
        <v>ettringite</v>
      </c>
      <c r="F55" s="115" t="str">
        <f>$AM$79</f>
        <v>monocarbonate</v>
      </c>
      <c r="G55" s="115" t="str">
        <f>$AU$79</f>
        <v>gypsum</v>
      </c>
      <c r="H55" s="115" t="str">
        <f>$G$96</f>
        <v>Hemicarbonate</v>
      </c>
      <c r="I55" s="115" t="str">
        <f>$O$96</f>
        <v>Hemisulphate</v>
      </c>
      <c r="J55" s="115" t="str">
        <f>$W$96</f>
        <v>ettringite</v>
      </c>
      <c r="K55" s="115" t="str">
        <f>$AE$96</f>
        <v>ettringite</v>
      </c>
      <c r="L55" s="115" t="str">
        <f>$AM$96</f>
        <v>monocarbonate</v>
      </c>
      <c r="M55" s="115" t="str">
        <f>$AU$96</f>
        <v>gypsum</v>
      </c>
      <c r="N55" s="115" t="str">
        <f>$G$112</f>
        <v>Hemicarbonate</v>
      </c>
      <c r="O55" s="115" t="str">
        <f>$O$112</f>
        <v>Hemisulphate</v>
      </c>
      <c r="P55" s="115" t="str">
        <f>$W$112</f>
        <v>ettringite</v>
      </c>
      <c r="Q55" s="115" t="str">
        <f>$AE$112</f>
        <v>ettringite</v>
      </c>
      <c r="R55" s="115" t="str">
        <f>$AM$112</f>
        <v>monocarbonate</v>
      </c>
      <c r="S55" s="115" t="str">
        <f>$AU$112</f>
        <v>gypsum</v>
      </c>
      <c r="T55" s="115" t="str">
        <f>$G$129</f>
        <v>Hemicarbonate</v>
      </c>
      <c r="U55" s="115" t="str">
        <f>$O$129</f>
        <v>Hemisulphate</v>
      </c>
      <c r="V55" s="115" t="str">
        <f>$W$129</f>
        <v>ettringite</v>
      </c>
      <c r="W55" s="115" t="str">
        <f>$AE$129</f>
        <v>ettringite</v>
      </c>
      <c r="X55" s="115" t="str">
        <f>$AM$129</f>
        <v>monocarbonate</v>
      </c>
      <c r="Y55" s="115" t="str">
        <f>$AU$129</f>
        <v>gypsum</v>
      </c>
      <c r="Z55" s="115" t="str">
        <f>$G$146</f>
        <v>Hemicarbonate</v>
      </c>
      <c r="AA55" s="115" t="str">
        <f>$O$146</f>
        <v>Hemisulphate</v>
      </c>
      <c r="AB55" s="115" t="str">
        <f>$W$146</f>
        <v>ettringite</v>
      </c>
      <c r="AC55" s="115" t="str">
        <f>$AE$146</f>
        <v>ettringite</v>
      </c>
      <c r="AD55" s="115" t="str">
        <f>$AM$146</f>
        <v>monocarbonate</v>
      </c>
      <c r="AE55" s="115" t="str">
        <f>$AU$146</f>
        <v>gypsum</v>
      </c>
      <c r="AF55" s="115" t="str">
        <f>$G$180</f>
        <v>ettringite</v>
      </c>
      <c r="AG55" s="115" t="str">
        <f>$G$163</f>
        <v>gypsum</v>
      </c>
      <c r="AH55" s="115" t="str">
        <f>$O$180</f>
        <v>ettringite</v>
      </c>
      <c r="AI55" s="115" t="str">
        <f>$O$163</f>
        <v>gypsum</v>
      </c>
      <c r="AJ55" s="115" t="str">
        <f>$W$180</f>
        <v>gypsum</v>
      </c>
      <c r="AK55" s="115" t="str">
        <f>$W$163</f>
        <v>gypsum</v>
      </c>
      <c r="AL55" s="115" t="str">
        <f>$AE$180</f>
        <v>gypsum</v>
      </c>
      <c r="AM55" s="115" t="str">
        <f>$AE$163</f>
        <v>gypsum</v>
      </c>
      <c r="AN55" s="115" t="str">
        <f>$AM$180</f>
        <v>ettringite</v>
      </c>
      <c r="AO55" s="115" t="str">
        <f>$AU$180</f>
        <v>ettringite</v>
      </c>
      <c r="AP55" s="115" t="str">
        <f>$BC$180</f>
        <v>ettringite</v>
      </c>
      <c r="AQ55" s="115" t="str">
        <f>$BK$180</f>
        <v>ettringite</v>
      </c>
      <c r="AR55" s="115" t="str">
        <f>$BS$180</f>
        <v>ettringite</v>
      </c>
      <c r="AS55" s="115" t="str">
        <f>$AM$163</f>
        <v>gypsum</v>
      </c>
      <c r="AT55" s="115" t="str">
        <f>$AU$163</f>
        <v>gypsum</v>
      </c>
      <c r="AU55" s="115" t="str">
        <f>$BC$163</f>
        <v>gypsum</v>
      </c>
      <c r="AV55" s="115" t="str">
        <f>$BK$163</f>
        <v>gypsum</v>
      </c>
      <c r="AW55" s="116" t="str">
        <f>$BS$163</f>
        <v>gypsum</v>
      </c>
    </row>
    <row r="56" spans="2:49" hidden="1" outlineLevel="1" x14ac:dyDescent="0.2">
      <c r="B56" s="114" t="str">
        <f>$H$79</f>
        <v>Hemisulphate</v>
      </c>
      <c r="C56" s="115" t="str">
        <f>$P$79</f>
        <v>Hemicarbonate</v>
      </c>
      <c r="D56" s="115" t="str">
        <f>$X$79</f>
        <v>Hemicarbonate</v>
      </c>
      <c r="E56" s="115" t="str">
        <f>$AF$79</f>
        <v>monocarbonate</v>
      </c>
      <c r="F56" s="115" t="str">
        <f>$AN$79</f>
        <v>calcite</v>
      </c>
      <c r="G56" s="115" t="str">
        <f>$AV$79</f>
        <v>calcite</v>
      </c>
      <c r="H56" s="115" t="str">
        <f>$H$96</f>
        <v>Hemisulphate</v>
      </c>
      <c r="I56" s="115" t="str">
        <f>$P$96</f>
        <v>Hemicarbonate</v>
      </c>
      <c r="J56" s="115" t="str">
        <f>$X$96</f>
        <v>Hemicarbonate</v>
      </c>
      <c r="K56" s="115" t="str">
        <f>$AF$96</f>
        <v>monocarbonate</v>
      </c>
      <c r="L56" s="115" t="str">
        <f>$AN$96</f>
        <v>calcite</v>
      </c>
      <c r="M56" s="115" t="str">
        <f>$AV$96</f>
        <v>calcite</v>
      </c>
      <c r="N56" s="115" t="str">
        <f>$H$112</f>
        <v>Hemisulphate</v>
      </c>
      <c r="O56" s="115" t="str">
        <f>$P$112</f>
        <v>Hemicarbonate</v>
      </c>
      <c r="P56" s="115" t="str">
        <f>$X$112</f>
        <v>Hemicarbonate</v>
      </c>
      <c r="Q56" s="115" t="str">
        <f>$AF$112</f>
        <v>monocarbonate</v>
      </c>
      <c r="R56" s="115" t="str">
        <f>$AN$112</f>
        <v>calcite</v>
      </c>
      <c r="S56" s="115" t="str">
        <f>$AV$112</f>
        <v>calcite</v>
      </c>
      <c r="T56" s="115" t="str">
        <f>$H$129</f>
        <v>Hemisulphate</v>
      </c>
      <c r="U56" s="115" t="str">
        <f>$P$129</f>
        <v>Hemicarbonate</v>
      </c>
      <c r="V56" s="115" t="str">
        <f>$X$129</f>
        <v>Hemicarbonate</v>
      </c>
      <c r="W56" s="115" t="str">
        <f>$AF$129</f>
        <v>monocarbonate</v>
      </c>
      <c r="X56" s="115" t="str">
        <f>$AN$129</f>
        <v>calcite</v>
      </c>
      <c r="Y56" s="115" t="str">
        <f>$AV$129</f>
        <v>calcite</v>
      </c>
      <c r="Z56" s="115" t="str">
        <f>$H$146</f>
        <v>Hemisulphate</v>
      </c>
      <c r="AA56" s="115" t="str">
        <f>$P$146</f>
        <v>Hemicarbonate</v>
      </c>
      <c r="AB56" s="115" t="str">
        <f>$X$146</f>
        <v>Hemicarbonate</v>
      </c>
      <c r="AC56" s="115" t="str">
        <f>$AF$146</f>
        <v>monocarbonate</v>
      </c>
      <c r="AD56" s="115" t="str">
        <f>$AN$146</f>
        <v>calcite</v>
      </c>
      <c r="AE56" s="115" t="str">
        <f>$AV$146</f>
        <v>calcite</v>
      </c>
      <c r="AF56" s="115" t="str">
        <f>$H$180</f>
        <v>calcite</v>
      </c>
      <c r="AG56" s="115" t="str">
        <f>$H$163</f>
        <v>calcite</v>
      </c>
      <c r="AH56" s="115" t="str">
        <f>$P$180</f>
        <v>calcite</v>
      </c>
      <c r="AI56" s="115" t="str">
        <f>$P$163</f>
        <v>calcite</v>
      </c>
      <c r="AJ56" s="115" t="str">
        <f>$X$180</f>
        <v>calcite</v>
      </c>
      <c r="AK56" s="115" t="str">
        <f>$X$163</f>
        <v>calcite</v>
      </c>
      <c r="AL56" s="115" t="str">
        <f>$AF$180</f>
        <v>calcite</v>
      </c>
      <c r="AM56" s="115" t="str">
        <f>$AF$163</f>
        <v>calcite</v>
      </c>
      <c r="AN56" s="115" t="str">
        <f>$AN$180</f>
        <v>calcite</v>
      </c>
      <c r="AO56" s="115" t="str">
        <f>$AV$180</f>
        <v>calcite</v>
      </c>
      <c r="AP56" s="115" t="str">
        <f>$BD$180</f>
        <v>calcite</v>
      </c>
      <c r="AQ56" s="115" t="str">
        <f>$BL$180</f>
        <v>calcite</v>
      </c>
      <c r="AR56" s="115" t="str">
        <f>$BT$180</f>
        <v>calcite</v>
      </c>
      <c r="AS56" s="115" t="str">
        <f>$AN$163</f>
        <v>calcite</v>
      </c>
      <c r="AT56" s="115" t="str">
        <f>$AV$163</f>
        <v>calcite</v>
      </c>
      <c r="AU56" s="115" t="str">
        <f>$BD$163</f>
        <v>calcite</v>
      </c>
      <c r="AV56" s="115" t="str">
        <f>$BL$163</f>
        <v>calcite</v>
      </c>
      <c r="AW56" s="116" t="str">
        <f>$BT$163</f>
        <v>calcite</v>
      </c>
    </row>
    <row r="57" spans="2:49" hidden="1" outlineLevel="1" x14ac:dyDescent="0.2">
      <c r="B57" s="119">
        <f t="shared" ref="B57:B62" si="9">$B87</f>
        <v>6.2283649378083865</v>
      </c>
      <c r="C57" s="120">
        <f t="shared" ref="C57:C62" si="10">$J87</f>
        <v>9.4145953372741218</v>
      </c>
      <c r="D57" s="120">
        <f t="shared" ref="D57:D62" si="11">$R87</f>
        <v>9.513818796145749</v>
      </c>
      <c r="E57" s="120">
        <f t="shared" ref="E57:E62" si="12">$Z87</f>
        <v>5.8081903652866664</v>
      </c>
      <c r="F57" s="120">
        <f t="shared" ref="F57:F62" si="13">$AH87</f>
        <v>6.1787532083725694</v>
      </c>
      <c r="G57" s="120">
        <f t="shared" ref="G57:G62" si="14">$AP87</f>
        <v>0.62031056208395796</v>
      </c>
      <c r="H57" s="120">
        <f t="shared" ref="H57:H62" si="15">$B104</f>
        <v>6.8712825612245503</v>
      </c>
      <c r="I57" s="120">
        <f t="shared" ref="I57:I62" si="16">$J104</f>
        <v>11.34334820752261</v>
      </c>
      <c r="J57" s="120">
        <f t="shared" ref="J57:J62" si="17">$R104</f>
        <v>9.299512921673692</v>
      </c>
      <c r="K57" s="120">
        <f t="shared" ref="K57:K62" si="18">$Z104</f>
        <v>7.7369432355351542</v>
      </c>
      <c r="L57" s="120">
        <f t="shared" ref="L57:L62" si="19">$AH104</f>
        <v>7.8932002041490037</v>
      </c>
      <c r="M57" s="120">
        <f t="shared" ref="M57:M62" si="20">$AP104</f>
        <v>5.549345674941204</v>
      </c>
      <c r="N57" s="120">
        <f t="shared" ref="N57:N62" si="21">$B120</f>
        <v>2.9388466593441009</v>
      </c>
      <c r="O57" s="120">
        <f t="shared" ref="O57:O62" si="22">$J120</f>
        <v>5.0110349477503426</v>
      </c>
      <c r="P57" s="120">
        <f t="shared" ref="P57:P62" si="23">$R120</f>
        <v>6.0398295131178017</v>
      </c>
      <c r="Q57" s="120">
        <f t="shared" ref="Q57:Q62" si="24">$Z120</f>
        <v>1.9594615099148029</v>
      </c>
      <c r="R57" s="120">
        <f t="shared" ref="R57:R62" si="25">$AH120</f>
        <v>1.6998017278928117</v>
      </c>
      <c r="S57" s="120">
        <f t="shared" ref="S57:S62" si="26">$AP120</f>
        <v>-5.533577914148843</v>
      </c>
      <c r="T57" s="120">
        <f t="shared" ref="T57:T62" si="27">$B137</f>
        <v>14.625428674340213</v>
      </c>
      <c r="U57" s="120">
        <f t="shared" ref="U57:U62" si="28">$J137</f>
        <v>6.5854919209095613</v>
      </c>
      <c r="V57" s="120">
        <f t="shared" ref="V57:V62" si="29">$R137</f>
        <v>28.299127184616765</v>
      </c>
      <c r="W57" s="120">
        <f t="shared" ref="W57:W62" si="30">$Z137</f>
        <v>3.4516503590445922</v>
      </c>
      <c r="X57" s="120">
        <f t="shared" ref="X57:X62" si="31">$AH137</f>
        <v>2.5642404724170405</v>
      </c>
      <c r="Y57" s="120">
        <f t="shared" ref="Y57:Y62" si="32">$AP137</f>
        <v>-40.327237381249148</v>
      </c>
      <c r="Z57" s="120">
        <f t="shared" ref="Z57:Z62" si="33">$B154</f>
        <v>3.0137768207275641</v>
      </c>
      <c r="AA57" s="120">
        <f t="shared" ref="AA57:AA62" si="34">$J154</f>
        <v>2.9191310972880871</v>
      </c>
      <c r="AB57" s="120">
        <f t="shared" ref="AB57:AB62" si="35">$R154</f>
        <v>9.2287948050524697</v>
      </c>
      <c r="AC57" s="120">
        <f t="shared" ref="AC57:AC62" si="36">$Z154</f>
        <v>-0.14631312890126225</v>
      </c>
      <c r="AD57" s="120">
        <f t="shared" ref="AD57:AD62" si="37">$AH154</f>
        <v>-0.69779006619265971</v>
      </c>
      <c r="AE57" s="120">
        <f t="shared" ref="AE57:AE62" si="38">$AP154</f>
        <v>-17.242098184934513</v>
      </c>
      <c r="AF57" s="120">
        <f>$B188</f>
        <v>7.093536154687996E-2</v>
      </c>
      <c r="AG57" s="120">
        <f t="shared" ref="AG57:AG62" si="39">$B171</f>
        <v>2.9014168395612785</v>
      </c>
      <c r="AH57" s="120">
        <f>$J188</f>
        <v>-3.1602482343422125</v>
      </c>
      <c r="AI57" s="120">
        <f t="shared" ref="AI57:AI62" si="40">$J171</f>
        <v>-6.322835138365015</v>
      </c>
      <c r="AJ57" s="120">
        <f>$R188</f>
        <v>1.3750971049602541</v>
      </c>
      <c r="AK57" s="120">
        <f t="shared" ref="AK57:AK62" si="41">$R171</f>
        <v>1.3750971049602541</v>
      </c>
      <c r="AL57" s="120">
        <f>$Z188</f>
        <v>-0.58156114283750071</v>
      </c>
      <c r="AM57" s="120">
        <f t="shared" ref="AM57:AM62" si="42">$Z171</f>
        <v>-0.58156114283750071</v>
      </c>
      <c r="AN57" s="120">
        <f>$AH188</f>
        <v>-4.9733908255721744</v>
      </c>
      <c r="AO57" s="120">
        <f t="shared" ref="AO57:AO62" si="43">$AP188</f>
        <v>10.411656345010137</v>
      </c>
      <c r="AP57" s="120">
        <f>$AX188</f>
        <v>7.8474340006542178</v>
      </c>
      <c r="AQ57" s="120">
        <f>BF188</f>
        <v>3.789444735593726</v>
      </c>
      <c r="AR57" s="120">
        <f>$BN188</f>
        <v>6.0635340526109012</v>
      </c>
      <c r="AS57" s="120">
        <f t="shared" ref="AS57:AS62" si="44">$AH171</f>
        <v>-1.9078654593279651</v>
      </c>
      <c r="AT57" s="120">
        <f t="shared" ref="AT57:AT62" si="45">$AP171</f>
        <v>13.611330402030603</v>
      </c>
      <c r="AU57" s="120">
        <f t="shared" ref="AU57:AU62" si="46">$AX171</f>
        <v>11.681566960688063</v>
      </c>
      <c r="AV57" s="120">
        <f t="shared" ref="AV57:AV62" si="47">$BF171</f>
        <v>7.2756362085149355</v>
      </c>
      <c r="AW57" s="116">
        <f t="shared" ref="AW57:AW62" si="48">$BN171</f>
        <v>10.05824427331304</v>
      </c>
    </row>
    <row r="58" spans="2:49" hidden="1" outlineLevel="1" x14ac:dyDescent="0.2">
      <c r="B58" s="119">
        <f t="shared" si="9"/>
        <v>11.218570816585373</v>
      </c>
      <c r="C58" s="120">
        <f t="shared" si="10"/>
        <v>13.402608934911292</v>
      </c>
      <c r="D58" s="120">
        <f t="shared" si="11"/>
        <v>13.443417248668657</v>
      </c>
      <c r="E58" s="120">
        <f t="shared" si="12"/>
        <v>11.9193779801891</v>
      </c>
      <c r="F58" s="120">
        <f t="shared" si="13"/>
        <v>13.443417248668659</v>
      </c>
      <c r="G58" s="120">
        <f t="shared" si="14"/>
        <v>13.443417248668657</v>
      </c>
      <c r="H58" s="120">
        <f t="shared" si="15"/>
        <v>13.86274230535126</v>
      </c>
      <c r="I58" s="120">
        <f t="shared" si="16"/>
        <v>16.928170919932473</v>
      </c>
      <c r="J58" s="120">
        <f t="shared" si="17"/>
        <v>16.087588737434544</v>
      </c>
      <c r="K58" s="120">
        <f t="shared" si="18"/>
        <v>15.444939965210278</v>
      </c>
      <c r="L58" s="120">
        <f t="shared" si="19"/>
        <v>16.087588737434544</v>
      </c>
      <c r="M58" s="120">
        <f t="shared" si="20"/>
        <v>16.087588737434544</v>
      </c>
      <c r="N58" s="120">
        <f t="shared" si="21"/>
        <v>-61.501926174484581</v>
      </c>
      <c r="O58" s="120">
        <f t="shared" si="22"/>
        <v>-69.324619811601963</v>
      </c>
      <c r="P58" s="120">
        <f t="shared" si="23"/>
        <v>-71.372436496438013</v>
      </c>
      <c r="Q58" s="120">
        <f t="shared" si="24"/>
        <v>-63.250459613476643</v>
      </c>
      <c r="R58" s="120">
        <f t="shared" si="25"/>
        <v>-71.372436496438098</v>
      </c>
      <c r="S58" s="120">
        <f t="shared" si="26"/>
        <v>-71.372436496438098</v>
      </c>
      <c r="T58" s="120">
        <f t="shared" si="27"/>
        <v>79.450956261334824</v>
      </c>
      <c r="U58" s="120">
        <f t="shared" si="28"/>
        <v>72.978951483479136</v>
      </c>
      <c r="V58" s="120">
        <f t="shared" si="29"/>
        <v>82.412109357920869</v>
      </c>
      <c r="W58" s="120">
        <f t="shared" si="30"/>
        <v>71.617501783899314</v>
      </c>
      <c r="X58" s="120">
        <f t="shared" si="31"/>
        <v>82.412109357920869</v>
      </c>
      <c r="Y58" s="120">
        <f t="shared" si="32"/>
        <v>82.412109357920912</v>
      </c>
      <c r="Z58" s="120">
        <f t="shared" si="33"/>
        <v>-41.897312098892918</v>
      </c>
      <c r="AA58" s="120">
        <f t="shared" si="34"/>
        <v>-41.851778509428812</v>
      </c>
      <c r="AB58" s="120">
        <f t="shared" si="35"/>
        <v>-43.458833335367274</v>
      </c>
      <c r="AC58" s="120">
        <f t="shared" si="36"/>
        <v>-41.071017891191623</v>
      </c>
      <c r="AD58" s="120">
        <f t="shared" si="37"/>
        <v>-43.458833335367274</v>
      </c>
      <c r="AE58" s="120">
        <f t="shared" si="38"/>
        <v>-43.458833335367274</v>
      </c>
      <c r="AF58" s="120">
        <f t="shared" ref="AF58:AF62" si="49">$B189</f>
        <v>141.43452731590935</v>
      </c>
      <c r="AG58" s="120">
        <f t="shared" si="39"/>
        <v>148.28616907630288</v>
      </c>
      <c r="AH58" s="120">
        <f t="shared" ref="AH58:AH62" si="50">$J189</f>
        <v>-36.695593632604378</v>
      </c>
      <c r="AI58" s="120">
        <f t="shared" si="40"/>
        <v>-234.28419391596074</v>
      </c>
      <c r="AJ58" s="120">
        <f t="shared" ref="AJ58:AJ62" si="51">$R189</f>
        <v>47.287512572300749</v>
      </c>
      <c r="AK58" s="120">
        <f t="shared" si="41"/>
        <v>47.287512572300749</v>
      </c>
      <c r="AL58" s="120">
        <f t="shared" ref="AL58:AL62" si="52">$Z189</f>
        <v>-41.669272549714044</v>
      </c>
      <c r="AM58" s="120">
        <f t="shared" si="42"/>
        <v>-41.669272549714044</v>
      </c>
      <c r="AN58" s="120">
        <f t="shared" ref="AN58:AN62" si="53">$AH189</f>
        <v>-45.140522515067779</v>
      </c>
      <c r="AO58" s="120">
        <f t="shared" si="43"/>
        <v>171.16348941998754</v>
      </c>
      <c r="AP58" s="120">
        <f t="shared" ref="AP58:AP62" si="54">$AX189</f>
        <v>155.98852977587705</v>
      </c>
      <c r="AQ58" s="120">
        <f t="shared" ref="AQ58:AQ62" si="55">BF189</f>
        <v>-106.56766965593734</v>
      </c>
      <c r="AR58" s="120">
        <f t="shared" ref="AR58:AR62" si="56">$BN189</f>
        <v>40.568315494487635</v>
      </c>
      <c r="AS58" s="120">
        <f t="shared" si="44"/>
        <v>-47.846693831108247</v>
      </c>
      <c r="AT58" s="120">
        <f t="shared" si="45"/>
        <v>176.76029036408045</v>
      </c>
      <c r="AU58" s="120">
        <f t="shared" si="46"/>
        <v>165.34003173888371</v>
      </c>
      <c r="AV58" s="120">
        <f t="shared" si="47"/>
        <v>-119.72835008520869</v>
      </c>
      <c r="AW58" s="116">
        <f t="shared" si="48"/>
        <v>60.309336138394706</v>
      </c>
    </row>
    <row r="59" spans="2:49" hidden="1" outlineLevel="1" x14ac:dyDescent="0.2">
      <c r="B59" s="119">
        <f t="shared" si="9"/>
        <v>54.787428471314897</v>
      </c>
      <c r="C59" s="120">
        <f t="shared" si="10"/>
        <v>54.787428471314897</v>
      </c>
      <c r="D59" s="120">
        <f t="shared" si="11"/>
        <v>54.787428471314897</v>
      </c>
      <c r="E59" s="120">
        <f t="shared" si="12"/>
        <v>54.787428471314897</v>
      </c>
      <c r="F59" s="120">
        <f t="shared" si="13"/>
        <v>54.787428471314897</v>
      </c>
      <c r="G59" s="120">
        <f t="shared" si="14"/>
        <v>54.787428471314897</v>
      </c>
      <c r="H59" s="120">
        <f t="shared" si="15"/>
        <v>56.000337781860075</v>
      </c>
      <c r="I59" s="120">
        <f t="shared" si="16"/>
        <v>56.000337781860075</v>
      </c>
      <c r="J59" s="120">
        <f t="shared" si="17"/>
        <v>56.000337781860075</v>
      </c>
      <c r="K59" s="120">
        <f t="shared" si="18"/>
        <v>56.000337781860075</v>
      </c>
      <c r="L59" s="120">
        <f t="shared" si="19"/>
        <v>56.000337781860075</v>
      </c>
      <c r="M59" s="120">
        <f t="shared" si="20"/>
        <v>56.000337781860075</v>
      </c>
      <c r="N59" s="120">
        <f t="shared" si="21"/>
        <v>129.39934527634773</v>
      </c>
      <c r="O59" s="120">
        <f t="shared" si="22"/>
        <v>138.73527968706662</v>
      </c>
      <c r="P59" s="120">
        <f t="shared" si="23"/>
        <v>141.17923098334293</v>
      </c>
      <c r="Q59" s="120">
        <f t="shared" si="24"/>
        <v>131.48611925199259</v>
      </c>
      <c r="R59" s="120">
        <f t="shared" si="25"/>
        <v>141.17923098334293</v>
      </c>
      <c r="S59" s="120">
        <f t="shared" si="26"/>
        <v>141.17923098334293</v>
      </c>
      <c r="T59" s="120">
        <f t="shared" si="27"/>
        <v>-68.991738538273353</v>
      </c>
      <c r="U59" s="120">
        <f t="shared" si="28"/>
        <v>-55.264472380088179</v>
      </c>
      <c r="V59" s="120">
        <f t="shared" si="29"/>
        <v>-75.272410151967421</v>
      </c>
      <c r="W59" s="120">
        <f t="shared" si="30"/>
        <v>-52.376807270343804</v>
      </c>
      <c r="X59" s="120">
        <f t="shared" si="31"/>
        <v>-75.272410151967463</v>
      </c>
      <c r="Y59" s="120">
        <f t="shared" si="32"/>
        <v>-75.272410151967421</v>
      </c>
      <c r="Z59" s="120">
        <f t="shared" si="33"/>
        <v>99.525507748898931</v>
      </c>
      <c r="AA59" s="120">
        <f t="shared" si="34"/>
        <v>99.525507748898931</v>
      </c>
      <c r="AB59" s="120">
        <f t="shared" si="35"/>
        <v>99.525507748898931</v>
      </c>
      <c r="AC59" s="120">
        <f t="shared" si="36"/>
        <v>99.525507748898917</v>
      </c>
      <c r="AD59" s="120">
        <f t="shared" si="37"/>
        <v>99.525507748898917</v>
      </c>
      <c r="AE59" s="120">
        <f t="shared" si="38"/>
        <v>99.525507748898931</v>
      </c>
      <c r="AF59" s="120">
        <f t="shared" si="49"/>
        <v>-10.529945171683451</v>
      </c>
      <c r="AG59" s="120">
        <f t="shared" si="39"/>
        <v>-12.251469865373807</v>
      </c>
      <c r="AH59" s="120">
        <f t="shared" si="50"/>
        <v>-19.696834926160303</v>
      </c>
      <c r="AI59" s="120">
        <f t="shared" si="40"/>
        <v>434.84423780560502</v>
      </c>
      <c r="AJ59" s="120">
        <f t="shared" si="51"/>
        <v>-79.91632065824956</v>
      </c>
      <c r="AK59" s="120">
        <f t="shared" si="41"/>
        <v>-79.91632065824956</v>
      </c>
      <c r="AL59" s="120">
        <f t="shared" si="52"/>
        <v>-14.40813166605119</v>
      </c>
      <c r="AM59" s="120">
        <f t="shared" si="42"/>
        <v>-14.40813166605119</v>
      </c>
      <c r="AN59" s="120">
        <f t="shared" si="53"/>
        <v>77.139248278509413</v>
      </c>
      <c r="AO59" s="120">
        <f t="shared" si="43"/>
        <v>-15.288130415164927</v>
      </c>
      <c r="AP59" s="120">
        <f t="shared" si="54"/>
        <v>82.428926194806593</v>
      </c>
      <c r="AQ59" s="120">
        <f t="shared" si="55"/>
        <v>351.19665182926735</v>
      </c>
      <c r="AR59" s="120">
        <f t="shared" si="56"/>
        <v>-41.371686455840219</v>
      </c>
      <c r="AS59" s="120">
        <f t="shared" si="44"/>
        <v>56.426956411196286</v>
      </c>
      <c r="AT59" s="120">
        <f t="shared" si="45"/>
        <v>-11.505427845054019</v>
      </c>
      <c r="AU59" s="120">
        <f t="shared" si="46"/>
        <v>62.033750166004154</v>
      </c>
      <c r="AV59" s="120">
        <f t="shared" si="47"/>
        <v>429.72922320923533</v>
      </c>
      <c r="AW59" s="116">
        <f t="shared" si="48"/>
        <v>-50.622984561274393</v>
      </c>
    </row>
    <row r="60" spans="2:49" hidden="1" outlineLevel="1" x14ac:dyDescent="0.2">
      <c r="B60" s="119">
        <f t="shared" si="9"/>
        <v>-11.150753416787483</v>
      </c>
      <c r="C60" s="120">
        <f t="shared" si="10"/>
        <v>18.350044808106649</v>
      </c>
      <c r="D60" s="120">
        <f t="shared" si="11"/>
        <v>19.207212065980535</v>
      </c>
      <c r="E60" s="120">
        <f t="shared" si="12"/>
        <v>23.221130394098882</v>
      </c>
      <c r="F60" s="120">
        <f t="shared" si="13"/>
        <v>12.562738362935917</v>
      </c>
      <c r="G60" s="120">
        <f t="shared" si="14"/>
        <v>38.37949538758285</v>
      </c>
      <c r="H60" s="120">
        <f t="shared" si="15"/>
        <v>-15.650751839514706</v>
      </c>
      <c r="I60" s="120">
        <f t="shared" si="16"/>
        <v>25.755389506083443</v>
      </c>
      <c r="J60" s="120">
        <f t="shared" si="17"/>
        <v>8.0991950190153421</v>
      </c>
      <c r="K60" s="120">
        <f t="shared" si="18"/>
        <v>9.791762749207205</v>
      </c>
      <c r="L60" s="120">
        <f t="shared" si="19"/>
        <v>12.562738362935917</v>
      </c>
      <c r="M60" s="120">
        <f t="shared" si="20"/>
        <v>23.449011143330473</v>
      </c>
      <c r="N60" s="120">
        <f t="shared" si="21"/>
        <v>-9.7526549522861199</v>
      </c>
      <c r="O60" s="120">
        <f t="shared" si="22"/>
        <v>14.814727580761954</v>
      </c>
      <c r="P60" s="120">
        <f t="shared" si="23"/>
        <v>24.994960923309364</v>
      </c>
      <c r="Q60" s="120">
        <f t="shared" si="24"/>
        <v>27.893909119701657</v>
      </c>
      <c r="R60" s="120">
        <f t="shared" si="25"/>
        <v>12.562738362935917</v>
      </c>
      <c r="S60" s="120">
        <f t="shared" si="26"/>
        <v>46.158912070027228</v>
      </c>
      <c r="T60" s="120">
        <f t="shared" si="27"/>
        <v>35.998964411519466</v>
      </c>
      <c r="U60" s="120">
        <f t="shared" si="28"/>
        <v>-40.855913207177686</v>
      </c>
      <c r="V60" s="120">
        <f t="shared" si="29"/>
        <v>148.21160590885003</v>
      </c>
      <c r="W60" s="120">
        <f t="shared" si="30"/>
        <v>123.57574475259752</v>
      </c>
      <c r="X60" s="120">
        <f t="shared" si="31"/>
        <v>12.562738362935917</v>
      </c>
      <c r="Y60" s="120">
        <f t="shared" si="32"/>
        <v>211.77660682220358</v>
      </c>
      <c r="Z60" s="120">
        <f t="shared" si="33"/>
        <v>0.44163833818760878</v>
      </c>
      <c r="AA60" s="120">
        <f t="shared" si="34"/>
        <v>-0.54508087874042843</v>
      </c>
      <c r="AB60" s="120">
        <f t="shared" si="35"/>
        <v>57.168896891249489</v>
      </c>
      <c r="AC60" s="120">
        <f t="shared" si="36"/>
        <v>51.837028897199623</v>
      </c>
      <c r="AD60" s="120">
        <f t="shared" si="37"/>
        <v>12.562738362935917</v>
      </c>
      <c r="AE60" s="120">
        <f t="shared" si="38"/>
        <v>89.404474443030296</v>
      </c>
      <c r="AF60" s="120">
        <f t="shared" si="49"/>
        <v>-46.93201943598639</v>
      </c>
      <c r="AG60" s="120">
        <f t="shared" si="39"/>
        <v>-47.499845340158885</v>
      </c>
      <c r="AH60" s="120">
        <f t="shared" si="50"/>
        <v>143.59617486289326</v>
      </c>
      <c r="AI60" s="120">
        <f t="shared" si="40"/>
        <v>-102.80093804094787</v>
      </c>
      <c r="AJ60" s="120">
        <f t="shared" si="51"/>
        <v>122.68998169132004</v>
      </c>
      <c r="AK60" s="120">
        <f t="shared" si="41"/>
        <v>122.68998169132004</v>
      </c>
      <c r="AL60" s="120">
        <f t="shared" si="52"/>
        <v>148.09523606893421</v>
      </c>
      <c r="AM60" s="120">
        <f t="shared" si="42"/>
        <v>148.09523606893421</v>
      </c>
      <c r="AN60" s="120">
        <f t="shared" si="53"/>
        <v>57.018163131916914</v>
      </c>
      <c r="AO60" s="120">
        <f t="shared" si="43"/>
        <v>-82.243517280046433</v>
      </c>
      <c r="AP60" s="120">
        <f t="shared" si="54"/>
        <v>-162.22139190155156</v>
      </c>
      <c r="AQ60" s="120">
        <f t="shared" si="55"/>
        <v>-164.37492883913734</v>
      </c>
      <c r="AR60" s="120">
        <f t="shared" si="56"/>
        <v>78.783334978528018</v>
      </c>
      <c r="AS60" s="120">
        <f t="shared" si="44"/>
        <v>84.763873589571389</v>
      </c>
      <c r="AT60" s="120">
        <f t="shared" si="45"/>
        <v>-87.429922210725621</v>
      </c>
      <c r="AU60" s="120">
        <f t="shared" si="46"/>
        <v>-147.61907815524452</v>
      </c>
      <c r="AV60" s="120">
        <f t="shared" si="47"/>
        <v>-225.84023862221011</v>
      </c>
      <c r="AW60" s="116">
        <f t="shared" si="48"/>
        <v>71.691674859898072</v>
      </c>
    </row>
    <row r="61" spans="2:49" hidden="1" outlineLevel="1" x14ac:dyDescent="0.2">
      <c r="B61" s="119">
        <f t="shared" si="9"/>
        <v>0</v>
      </c>
      <c r="C61" s="120">
        <f t="shared" si="10"/>
        <v>0.65155888111532789</v>
      </c>
      <c r="D61" s="120">
        <f t="shared" si="11"/>
        <v>-0.3456401493875525</v>
      </c>
      <c r="E61" s="120">
        <f t="shared" si="12"/>
        <v>12.562738362935917</v>
      </c>
      <c r="F61" s="120">
        <f t="shared" si="13"/>
        <v>11.692629141103176</v>
      </c>
      <c r="G61" s="120">
        <f t="shared" si="14"/>
        <v>-10.624415236928071</v>
      </c>
      <c r="H61" s="120">
        <f t="shared" si="15"/>
        <v>0</v>
      </c>
      <c r="I61" s="120">
        <f t="shared" si="16"/>
        <v>-13.42100998267631</v>
      </c>
      <c r="J61" s="120">
        <f t="shared" si="17"/>
        <v>7.1196019727386393</v>
      </c>
      <c r="K61" s="120">
        <f t="shared" si="18"/>
        <v>12.562738362935917</v>
      </c>
      <c r="L61" s="120">
        <f t="shared" si="19"/>
        <v>4.930485662026344</v>
      </c>
      <c r="M61" s="120">
        <f t="shared" si="20"/>
        <v>-4.4800469048440057</v>
      </c>
      <c r="N61" s="120">
        <f t="shared" si="21"/>
        <v>0</v>
      </c>
      <c r="O61" s="120">
        <f t="shared" si="22"/>
        <v>7.3698140287453313</v>
      </c>
      <c r="P61" s="120">
        <f t="shared" si="23"/>
        <v>-4.2353484906097556</v>
      </c>
      <c r="Q61" s="120">
        <f t="shared" si="24"/>
        <v>12.562738362935917</v>
      </c>
      <c r="R61" s="120">
        <f t="shared" si="25"/>
        <v>15.215993214874853</v>
      </c>
      <c r="S61" s="120">
        <f t="shared" si="26"/>
        <v>-13.825892210060989</v>
      </c>
      <c r="T61" s="120">
        <f t="shared" si="27"/>
        <v>0</v>
      </c>
      <c r="U61" s="120">
        <f t="shared" si="28"/>
        <v>113.16217861559944</v>
      </c>
      <c r="V61" s="120">
        <f t="shared" si="29"/>
        <v>-87.044195866697976</v>
      </c>
      <c r="W61" s="120">
        <f t="shared" si="30"/>
        <v>12.562738362935917</v>
      </c>
      <c r="X61" s="120">
        <f t="shared" si="31"/>
        <v>90.225657755346418</v>
      </c>
      <c r="Y61" s="120">
        <f t="shared" si="32"/>
        <v>-81.982832214185649</v>
      </c>
      <c r="Z61" s="120">
        <f t="shared" si="33"/>
        <v>0</v>
      </c>
      <c r="AA61" s="120">
        <f t="shared" si="34"/>
        <v>36.558456974704519</v>
      </c>
      <c r="AB61" s="120">
        <f t="shared" si="35"/>
        <v>-25.858129677111286</v>
      </c>
      <c r="AC61" s="120">
        <f t="shared" si="36"/>
        <v>12.562738362935917</v>
      </c>
      <c r="AD61" s="120">
        <f t="shared" si="37"/>
        <v>34.80227674162569</v>
      </c>
      <c r="AE61" s="120">
        <f t="shared" si="38"/>
        <v>-31.622814238905196</v>
      </c>
      <c r="AF61" s="120">
        <f t="shared" si="49"/>
        <v>12.562738362935917</v>
      </c>
      <c r="AG61" s="120">
        <f t="shared" si="39"/>
        <v>5.169965722390824</v>
      </c>
      <c r="AH61" s="120">
        <f t="shared" si="50"/>
        <v>12.562738362935917</v>
      </c>
      <c r="AI61" s="120">
        <f t="shared" si="40"/>
        <v>5.169965722390824</v>
      </c>
      <c r="AJ61" s="120">
        <f t="shared" si="51"/>
        <v>5.169965722390824</v>
      </c>
      <c r="AK61" s="120">
        <f t="shared" si="41"/>
        <v>5.169965722390824</v>
      </c>
      <c r="AL61" s="120">
        <f t="shared" si="52"/>
        <v>5.169965722390824</v>
      </c>
      <c r="AM61" s="120">
        <f t="shared" si="42"/>
        <v>5.169965722390824</v>
      </c>
      <c r="AN61" s="120">
        <f t="shared" si="53"/>
        <v>12.562738362935917</v>
      </c>
      <c r="AO61" s="120">
        <f t="shared" si="43"/>
        <v>12.562738362935917</v>
      </c>
      <c r="AP61" s="120">
        <f t="shared" si="54"/>
        <v>12.562738362935917</v>
      </c>
      <c r="AQ61" s="120">
        <f t="shared" si="55"/>
        <v>12.562738362935917</v>
      </c>
      <c r="AR61" s="120">
        <f t="shared" si="56"/>
        <v>12.562738362935917</v>
      </c>
      <c r="AS61" s="120">
        <f t="shared" si="44"/>
        <v>5.169965722390824</v>
      </c>
      <c r="AT61" s="120">
        <f t="shared" si="45"/>
        <v>5.169965722390824</v>
      </c>
      <c r="AU61" s="120">
        <f t="shared" si="46"/>
        <v>5.169965722390824</v>
      </c>
      <c r="AV61" s="120">
        <f t="shared" si="47"/>
        <v>5.169965722390824</v>
      </c>
      <c r="AW61" s="116">
        <f t="shared" si="48"/>
        <v>5.169965722390824</v>
      </c>
    </row>
    <row r="62" spans="2:49" hidden="1" outlineLevel="1" x14ac:dyDescent="0.2">
      <c r="B62" s="119">
        <f t="shared" si="9"/>
        <v>35.522625623801105</v>
      </c>
      <c r="C62" s="120">
        <f t="shared" si="10"/>
        <v>0</v>
      </c>
      <c r="D62" s="120">
        <f t="shared" si="11"/>
        <v>0</v>
      </c>
      <c r="E62" s="120">
        <f t="shared" si="12"/>
        <v>-11.692629141103176</v>
      </c>
      <c r="F62" s="120">
        <f t="shared" si="13"/>
        <v>-2.0587299996729378</v>
      </c>
      <c r="G62" s="120">
        <f t="shared" si="14"/>
        <v>0</v>
      </c>
      <c r="H62" s="120">
        <f t="shared" si="15"/>
        <v>35.522625623801105</v>
      </c>
      <c r="I62" s="120">
        <f t="shared" si="16"/>
        <v>0</v>
      </c>
      <c r="J62" s="120">
        <f t="shared" si="17"/>
        <v>0</v>
      </c>
      <c r="K62" s="120">
        <f t="shared" si="18"/>
        <v>-4.930485662026344</v>
      </c>
      <c r="L62" s="120">
        <f t="shared" si="19"/>
        <v>-0.86811431568360198</v>
      </c>
      <c r="M62" s="120">
        <f t="shared" si="20"/>
        <v>0</v>
      </c>
      <c r="N62" s="120">
        <f t="shared" si="21"/>
        <v>35.522625623801105</v>
      </c>
      <c r="O62" s="120">
        <f t="shared" si="22"/>
        <v>0</v>
      </c>
      <c r="P62" s="120">
        <f t="shared" si="23"/>
        <v>0</v>
      </c>
      <c r="Q62" s="120">
        <f t="shared" si="24"/>
        <v>-14.045532198346018</v>
      </c>
      <c r="R62" s="120">
        <f t="shared" si="25"/>
        <v>-2.6790913598861659</v>
      </c>
      <c r="S62" s="120">
        <f t="shared" si="26"/>
        <v>0</v>
      </c>
      <c r="T62" s="120">
        <f t="shared" si="27"/>
        <v>35.522625623801105</v>
      </c>
      <c r="U62" s="120">
        <f t="shared" si="28"/>
        <v>0</v>
      </c>
      <c r="V62" s="120">
        <f t="shared" si="29"/>
        <v>0</v>
      </c>
      <c r="W62" s="120">
        <f t="shared" si="30"/>
        <v>-62.224591555411287</v>
      </c>
      <c r="X62" s="120">
        <f t="shared" si="31"/>
        <v>-15.886099363930539</v>
      </c>
      <c r="Y62" s="120">
        <f t="shared" si="32"/>
        <v>0</v>
      </c>
      <c r="Z62" s="120">
        <f t="shared" si="33"/>
        <v>35.522625623801105</v>
      </c>
      <c r="AA62" s="120">
        <f t="shared" si="34"/>
        <v>0</v>
      </c>
      <c r="AB62" s="120">
        <f t="shared" si="35"/>
        <v>0</v>
      </c>
      <c r="AC62" s="120">
        <f t="shared" si="36"/>
        <v>-26.10170755621926</v>
      </c>
      <c r="AD62" s="120">
        <f t="shared" si="37"/>
        <v>-6.127663019178307</v>
      </c>
      <c r="AE62" s="120">
        <f t="shared" si="38"/>
        <v>0</v>
      </c>
      <c r="AF62" s="120">
        <f t="shared" si="49"/>
        <v>0</v>
      </c>
      <c r="AG62" s="120">
        <f t="shared" si="39"/>
        <v>0</v>
      </c>
      <c r="AH62" s="120">
        <f t="shared" si="50"/>
        <v>0</v>
      </c>
      <c r="AI62" s="120">
        <f t="shared" si="40"/>
        <v>0</v>
      </c>
      <c r="AJ62" s="120">
        <f t="shared" si="51"/>
        <v>0</v>
      </c>
      <c r="AK62" s="120">
        <f t="shared" si="41"/>
        <v>0</v>
      </c>
      <c r="AL62" s="120">
        <f t="shared" si="52"/>
        <v>0</v>
      </c>
      <c r="AM62" s="120">
        <f t="shared" si="42"/>
        <v>0</v>
      </c>
      <c r="AN62" s="120">
        <f t="shared" si="53"/>
        <v>0</v>
      </c>
      <c r="AO62" s="120">
        <f t="shared" si="43"/>
        <v>0</v>
      </c>
      <c r="AP62" s="120">
        <f t="shared" si="54"/>
        <v>0</v>
      </c>
      <c r="AQ62" s="120">
        <f t="shared" si="55"/>
        <v>0</v>
      </c>
      <c r="AR62" s="120">
        <f t="shared" si="56"/>
        <v>0</v>
      </c>
      <c r="AS62" s="120">
        <f t="shared" si="44"/>
        <v>0</v>
      </c>
      <c r="AT62" s="120">
        <f t="shared" si="45"/>
        <v>0</v>
      </c>
      <c r="AU62" s="120">
        <f t="shared" si="46"/>
        <v>0</v>
      </c>
      <c r="AV62" s="120">
        <f t="shared" si="47"/>
        <v>0</v>
      </c>
      <c r="AW62" s="116">
        <f t="shared" si="48"/>
        <v>0</v>
      </c>
    </row>
    <row r="63" spans="2:49" hidden="1" outlineLevel="1" x14ac:dyDescent="0.2">
      <c r="B63" s="121">
        <f t="shared" ref="B63:AE63" si="57">IF(B57&lt;0,0,IF(B58&lt;0,0,IF(B59&lt;0,0,IF(B60&lt;0,0,IF(B61&lt;0,0,IF(B62&lt;0,0,1))))))</f>
        <v>0</v>
      </c>
      <c r="C63" s="122">
        <f t="shared" si="57"/>
        <v>1</v>
      </c>
      <c r="D63" s="122">
        <f t="shared" si="57"/>
        <v>0</v>
      </c>
      <c r="E63" s="122">
        <f t="shared" si="57"/>
        <v>0</v>
      </c>
      <c r="F63" s="122">
        <f t="shared" si="57"/>
        <v>0</v>
      </c>
      <c r="G63" s="122">
        <f t="shared" si="57"/>
        <v>0</v>
      </c>
      <c r="H63" s="122">
        <f t="shared" si="57"/>
        <v>0</v>
      </c>
      <c r="I63" s="122">
        <f t="shared" si="57"/>
        <v>0</v>
      </c>
      <c r="J63" s="122">
        <f t="shared" si="57"/>
        <v>1</v>
      </c>
      <c r="K63" s="122">
        <f t="shared" si="57"/>
        <v>0</v>
      </c>
      <c r="L63" s="122">
        <f t="shared" si="57"/>
        <v>0</v>
      </c>
      <c r="M63" s="122">
        <f t="shared" si="57"/>
        <v>0</v>
      </c>
      <c r="N63" s="122">
        <f t="shared" si="57"/>
        <v>0</v>
      </c>
      <c r="O63" s="122">
        <f t="shared" si="57"/>
        <v>0</v>
      </c>
      <c r="P63" s="122">
        <f t="shared" si="57"/>
        <v>0</v>
      </c>
      <c r="Q63" s="122">
        <f t="shared" si="57"/>
        <v>0</v>
      </c>
      <c r="R63" s="122">
        <f t="shared" si="57"/>
        <v>0</v>
      </c>
      <c r="S63" s="122">
        <f t="shared" si="57"/>
        <v>0</v>
      </c>
      <c r="T63" s="122">
        <f t="shared" si="57"/>
        <v>0</v>
      </c>
      <c r="U63" s="122">
        <f t="shared" si="57"/>
        <v>0</v>
      </c>
      <c r="V63" s="122">
        <f t="shared" si="57"/>
        <v>0</v>
      </c>
      <c r="W63" s="122">
        <f t="shared" si="57"/>
        <v>0</v>
      </c>
      <c r="X63" s="122">
        <f t="shared" si="57"/>
        <v>0</v>
      </c>
      <c r="Y63" s="122">
        <f t="shared" si="57"/>
        <v>0</v>
      </c>
      <c r="Z63" s="122">
        <f t="shared" si="57"/>
        <v>0</v>
      </c>
      <c r="AA63" s="122">
        <f t="shared" si="57"/>
        <v>0</v>
      </c>
      <c r="AB63" s="122">
        <f t="shared" si="57"/>
        <v>0</v>
      </c>
      <c r="AC63" s="122">
        <f t="shared" si="57"/>
        <v>0</v>
      </c>
      <c r="AD63" s="122">
        <f t="shared" si="57"/>
        <v>0</v>
      </c>
      <c r="AE63" s="122">
        <f t="shared" si="57"/>
        <v>0</v>
      </c>
      <c r="AF63" s="122">
        <f>IF(AF57&lt;0,0,IF(AF58&lt;0,0,IF(AF59&lt;0,0,IF(AF60&lt;0,0,IF(AF61&lt;0,0,IF(AF62&lt;0,0,1))))))</f>
        <v>0</v>
      </c>
      <c r="AG63" s="122">
        <f t="shared" ref="AG63:AM63" si="58">IF(AG57&lt;0,0,IF(AG58&lt;0,0,IF(AG59&lt;0,0,IF(AG60&lt;0,0,IF(AG61&lt;0,0,IF(AG62&lt;0,0,1))))))</f>
        <v>0</v>
      </c>
      <c r="AH63" s="122">
        <f>IF(AH57&lt;0,0,IF(AH58&lt;0,0,IF(AH59&lt;0,0,IF(AH60&lt;0,0,IF(AH61&lt;0,0,IF(AH62&lt;0,0,1))))))</f>
        <v>0</v>
      </c>
      <c r="AI63" s="122">
        <f t="shared" si="58"/>
        <v>0</v>
      </c>
      <c r="AJ63" s="122">
        <f>IF(AJ57&lt;0,0,IF(AJ58&lt;0,0,IF(AJ59&lt;0,0,IF(AJ60&lt;0,0,IF(AJ61&lt;0,0,IF(AJ62&lt;0,0,1))))))</f>
        <v>0</v>
      </c>
      <c r="AK63" s="122">
        <f t="shared" si="58"/>
        <v>0</v>
      </c>
      <c r="AL63" s="122">
        <f>IF(AL57&lt;0,0,IF(AL58&lt;0,0,IF(AL59&lt;0,0,IF(AL60&lt;0,0,IF(AL61&lt;0,0,IF(AL62&lt;0,0,1))))))</f>
        <v>0</v>
      </c>
      <c r="AM63" s="122">
        <f t="shared" si="58"/>
        <v>0</v>
      </c>
      <c r="AN63" s="122">
        <f>IF(AN57&lt;0,0,IF(AN58&lt;0,0,IF(AN59&lt;0,0,IF(AN60&lt;0,0,IF(AN61&lt;0,0,IF(AN62&lt;0,0,1))))))</f>
        <v>0</v>
      </c>
      <c r="AO63" s="122">
        <f>IF(AO57&lt;0,0,IF(AO58&lt;0,0,IF(AO59&lt;0,0,IF(AO60&lt;0,0,IF(AO61&lt;0,0,IF(AO62&lt;0,0,1))))))</f>
        <v>0</v>
      </c>
      <c r="AP63" s="122">
        <f t="shared" ref="AP63:AR63" si="59">IF(AP57&lt;0,0,IF(AP58&lt;0,0,IF(AP59&lt;0,0,IF(AP60&lt;0,0,IF(AP61&lt;0,0,IF(AP62&lt;0,0,1))))))</f>
        <v>0</v>
      </c>
      <c r="AQ63" s="122">
        <f t="shared" si="59"/>
        <v>0</v>
      </c>
      <c r="AR63" s="122">
        <f t="shared" si="59"/>
        <v>0</v>
      </c>
      <c r="AS63" s="122">
        <f>IF(AS57&lt;0,0,IF(AS58&lt;0,0,IF(AS59&lt;0,0,IF(AS60&lt;0,0,IF(AS61&lt;0,0,IF(AS62&lt;0,0,1))))))</f>
        <v>0</v>
      </c>
      <c r="AT63" s="122">
        <f>IF(AT57&lt;0,0,IF(AT58&lt;0,0,IF(AT59&lt;0,0,IF(AT60&lt;0,0,IF(AT61&lt;0,0,IF(AT62&lt;0,0,1))))))</f>
        <v>0</v>
      </c>
      <c r="AU63" s="122">
        <f>IF(AU57&lt;0,0,IF(AU58&lt;0,0,IF(AU59&lt;0,0,IF(AU60&lt;0,0,IF(AU61&lt;0,0,IF(AU62&lt;0,0,1))))))</f>
        <v>0</v>
      </c>
      <c r="AV63" s="122">
        <f>IF(AV57&lt;0,0,IF(AV58&lt;0,0,IF(AV59&lt;0,0,IF(AV60&lt;0,0,IF(AV61&lt;0,0,IF(AV62&lt;0,0,1))))))</f>
        <v>0</v>
      </c>
      <c r="AW63" s="123">
        <f>IF(AW57&lt;0,0,IF(AW58&lt;0,0,IF(AW59&lt;0,0,IF(AW60&lt;0,0,IF(AW61&lt;0,0,IF(AW62&lt;0,0,1))))))</f>
        <v>0</v>
      </c>
    </row>
    <row r="64" spans="2:49" hidden="1" outlineLevel="1" x14ac:dyDescent="0.2">
      <c r="B64" s="114" t="str">
        <f>$C$79</f>
        <v>water</v>
      </c>
      <c r="C64" s="115" t="str">
        <f>$K$79</f>
        <v>water</v>
      </c>
      <c r="D64" s="115" t="str">
        <f>$S$79</f>
        <v>water</v>
      </c>
      <c r="E64" s="115" t="str">
        <f>$AA$79</f>
        <v>water</v>
      </c>
      <c r="F64" s="115" t="str">
        <f>$AI$79</f>
        <v>water</v>
      </c>
      <c r="G64" s="115" t="str">
        <f>$AQ$79</f>
        <v>water</v>
      </c>
      <c r="H64" s="115" t="str">
        <f>$C$96</f>
        <v>water</v>
      </c>
      <c r="I64" s="115" t="str">
        <f>$K$96</f>
        <v>water</v>
      </c>
      <c r="J64" s="115" t="str">
        <f>$S$96</f>
        <v>water</v>
      </c>
      <c r="K64" s="115" t="str">
        <f>$AA$96</f>
        <v>water</v>
      </c>
      <c r="L64" s="115" t="str">
        <f>$AI$96</f>
        <v>water</v>
      </c>
      <c r="M64" s="115" t="str">
        <f>$AQ$96</f>
        <v>water</v>
      </c>
      <c r="N64" s="115" t="str">
        <f>$C$112</f>
        <v>water</v>
      </c>
      <c r="O64" s="115" t="str">
        <f>$K$112</f>
        <v>water</v>
      </c>
      <c r="P64" s="115" t="str">
        <f>$S$112</f>
        <v>water</v>
      </c>
      <c r="Q64" s="115" t="str">
        <f>$AA$112</f>
        <v>water</v>
      </c>
      <c r="R64" s="115" t="str">
        <f>$AI$112</f>
        <v>water</v>
      </c>
      <c r="S64" s="115" t="str">
        <f>$AQ$112</f>
        <v>water</v>
      </c>
      <c r="T64" s="115" t="str">
        <f>$C$129</f>
        <v>water</v>
      </c>
      <c r="U64" s="115" t="str">
        <f>$K$129</f>
        <v>water</v>
      </c>
      <c r="V64" s="115" t="str">
        <f>$S$129</f>
        <v>water</v>
      </c>
      <c r="W64" s="115" t="str">
        <f>$AA$129</f>
        <v>water</v>
      </c>
      <c r="X64" s="115" t="str">
        <f>$AI$129</f>
        <v>water</v>
      </c>
      <c r="Y64" s="115" t="str">
        <f>$AQ$129</f>
        <v>water</v>
      </c>
      <c r="Z64" s="115" t="str">
        <f>$C$146</f>
        <v>water</v>
      </c>
      <c r="AA64" s="115" t="str">
        <f>$K$146</f>
        <v>water</v>
      </c>
      <c r="AB64" s="115" t="str">
        <f>$S$146</f>
        <v>water</v>
      </c>
      <c r="AC64" s="115" t="str">
        <f>$AA$146</f>
        <v>water</v>
      </c>
      <c r="AD64" s="115" t="str">
        <f>$AI$146</f>
        <v>water</v>
      </c>
      <c r="AE64" s="115" t="str">
        <f>$AQ$146</f>
        <v>water</v>
      </c>
      <c r="AF64" s="115" t="str">
        <f>$C$180</f>
        <v>water</v>
      </c>
      <c r="AG64" s="115" t="str">
        <f>$C$163</f>
        <v>water</v>
      </c>
      <c r="AH64" s="115" t="str">
        <f>$K$180</f>
        <v>water</v>
      </c>
      <c r="AI64" s="115" t="str">
        <f>$K$163</f>
        <v>water</v>
      </c>
      <c r="AJ64" s="115" t="str">
        <f>$S$180</f>
        <v>water</v>
      </c>
      <c r="AK64" s="115" t="str">
        <f>$S$163</f>
        <v>water</v>
      </c>
      <c r="AL64" s="115" t="str">
        <f>$AA$180</f>
        <v>water</v>
      </c>
      <c r="AM64" s="115" t="str">
        <f>$AA$163</f>
        <v>water</v>
      </c>
      <c r="AN64" s="115" t="str">
        <f>$AI$180</f>
        <v>water</v>
      </c>
      <c r="AO64" s="115" t="str">
        <f>$AQ$180</f>
        <v>water</v>
      </c>
      <c r="AP64" s="115" t="str">
        <f>$AY$180</f>
        <v>water</v>
      </c>
      <c r="AQ64" s="115" t="str">
        <f>$BG$180</f>
        <v>water</v>
      </c>
      <c r="AR64" s="115" t="str">
        <f>$BO$180</f>
        <v>water</v>
      </c>
      <c r="AS64" s="115" t="str">
        <f>$AI$163</f>
        <v>water</v>
      </c>
      <c r="AT64" s="115" t="str">
        <f>$AI$163</f>
        <v>water</v>
      </c>
      <c r="AU64" s="115" t="str">
        <f>$AI$163</f>
        <v>water</v>
      </c>
      <c r="AV64" s="115" t="str">
        <f>$AI$163</f>
        <v>water</v>
      </c>
      <c r="AW64" s="116" t="str">
        <f>$AI$163</f>
        <v>water</v>
      </c>
    </row>
    <row r="65" spans="1:49" hidden="1" outlineLevel="1" x14ac:dyDescent="0.2">
      <c r="B65" s="114" t="str">
        <f>$D$79</f>
        <v>portlandite</v>
      </c>
      <c r="C65" s="115" t="str">
        <f>$L$79</f>
        <v>portlandite</v>
      </c>
      <c r="D65" s="115" t="str">
        <f>$T$79</f>
        <v>portlandite</v>
      </c>
      <c r="E65" s="115" t="str">
        <f>$AB$79</f>
        <v>portlandite</v>
      </c>
      <c r="F65" s="115" t="str">
        <f>$AJ$79</f>
        <v>portlandite</v>
      </c>
      <c r="G65" s="115" t="str">
        <f>$AR$79</f>
        <v>portlandite</v>
      </c>
      <c r="H65" s="115" t="str">
        <f>$D$96</f>
        <v>portlandite</v>
      </c>
      <c r="I65" s="115" t="str">
        <f>$L$96</f>
        <v>portlandite</v>
      </c>
      <c r="J65" s="115" t="str">
        <f>$T$96</f>
        <v>portlandite</v>
      </c>
      <c r="K65" s="115" t="str">
        <f>$AB$96</f>
        <v>portlandite</v>
      </c>
      <c r="L65" s="115" t="str">
        <f>$AJ$96</f>
        <v>portlandite</v>
      </c>
      <c r="M65" s="115" t="str">
        <f>$AR$96</f>
        <v>portlandite</v>
      </c>
      <c r="N65" s="115" t="str">
        <f>$D$112</f>
        <v>C1.3A0.1SH3</v>
      </c>
      <c r="O65" s="115" t="str">
        <f>$L$112</f>
        <v>C1.3A0.1SH3</v>
      </c>
      <c r="P65" s="115" t="str">
        <f>$T$112</f>
        <v>C1.3A0.1SH3</v>
      </c>
      <c r="Q65" s="115" t="str">
        <f>$AB$112</f>
        <v>C1.3A0.1SH3</v>
      </c>
      <c r="R65" s="115" t="str">
        <f>$AJ$112</f>
        <v>C1.3A0.1SH3</v>
      </c>
      <c r="S65" s="115" t="str">
        <f>$AR$112</f>
        <v>C1.3A0.1SH3</v>
      </c>
      <c r="T65" s="115" t="str">
        <f>$D$129</f>
        <v>C1.3A0.1SH3</v>
      </c>
      <c r="U65" s="115" t="str">
        <f>$L$129</f>
        <v>C1.3A0.1SH3</v>
      </c>
      <c r="V65" s="115" t="str">
        <f>$T$129</f>
        <v>C1.3A0.1SH3</v>
      </c>
      <c r="W65" s="115" t="str">
        <f>$AB$129</f>
        <v>C1.3A0.1SH3</v>
      </c>
      <c r="X65" s="115" t="str">
        <f>$AJ$129</f>
        <v>C1.3A0.1SH3</v>
      </c>
      <c r="Y65" s="115" t="str">
        <f>$AR$129</f>
        <v>C1.3A0.1SH3</v>
      </c>
      <c r="Z65" s="115" t="str">
        <f>$D$146</f>
        <v>AH3</v>
      </c>
      <c r="AA65" s="115" t="str">
        <f>$L$146</f>
        <v>AH3</v>
      </c>
      <c r="AB65" s="115" t="str">
        <f>$T$146</f>
        <v>AH3</v>
      </c>
      <c r="AC65" s="115" t="str">
        <f>$AB$146</f>
        <v>AH3</v>
      </c>
      <c r="AD65" s="115" t="str">
        <f>$AJ$146</f>
        <v>AH3</v>
      </c>
      <c r="AE65" s="115" t="str">
        <f>$AR$146</f>
        <v>AH3</v>
      </c>
      <c r="AF65" s="115" t="str">
        <f>$D$180</f>
        <v>strätlingite</v>
      </c>
      <c r="AG65" s="115" t="str">
        <f>$D$163</f>
        <v>strätlingite</v>
      </c>
      <c r="AH65" s="115" t="str">
        <f>$L$180</f>
        <v>SiO2</v>
      </c>
      <c r="AI65" s="115" t="str">
        <f>$L$163</f>
        <v>SiO2</v>
      </c>
      <c r="AJ65" s="115" t="str">
        <f>$T$180</f>
        <v>strätlingite</v>
      </c>
      <c r="AK65" s="115" t="str">
        <f>$T$163</f>
        <v>strätlingite</v>
      </c>
      <c r="AL65" s="115" t="str">
        <f>$AB$180</f>
        <v>SiO2</v>
      </c>
      <c r="AM65" s="115" t="str">
        <f>$AB$163</f>
        <v>SiO2</v>
      </c>
      <c r="AN65" s="115" t="str">
        <f>$AJ$180</f>
        <v>SiO2</v>
      </c>
      <c r="AO65" s="115" t="str">
        <f>$AR$180</f>
        <v>C1.3A0.1SH3</v>
      </c>
      <c r="AP65" s="115" t="str">
        <f>$AZ$180</f>
        <v>C1.3A0.1SH3</v>
      </c>
      <c r="AQ65" s="115" t="str">
        <f>$BH$180</f>
        <v>C1.3A0.1SH3</v>
      </c>
      <c r="AR65" s="115" t="str">
        <f>$BP$180</f>
        <v>C1.3A0.1SH3</v>
      </c>
      <c r="AS65" s="115" t="str">
        <f>$AJ$163</f>
        <v>SiO2</v>
      </c>
      <c r="AT65" s="115" t="str">
        <f>$AR$163</f>
        <v>C1.3A0.1SH3</v>
      </c>
      <c r="AU65" s="115" t="str">
        <f>$AR$163</f>
        <v>C1.3A0.1SH3</v>
      </c>
      <c r="AV65" s="115" t="str">
        <f>$AR$163</f>
        <v>C1.3A0.1SH3</v>
      </c>
      <c r="AW65" s="116" t="str">
        <f>$AR$163</f>
        <v>C1.3A0.1SH3</v>
      </c>
    </row>
    <row r="66" spans="1:49" hidden="1" outlineLevel="1" x14ac:dyDescent="0.2">
      <c r="B66" s="114" t="str">
        <f>$E$79</f>
        <v>C1.75SH4.4</v>
      </c>
      <c r="C66" s="115" t="str">
        <f>$M$79</f>
        <v>C1.75SH4.4</v>
      </c>
      <c r="D66" s="115" t="str">
        <f>$U$79</f>
        <v>C1.75SH4.4</v>
      </c>
      <c r="E66" s="115" t="str">
        <f>$AC$79</f>
        <v>C1.75SH4.4</v>
      </c>
      <c r="F66" s="115" t="str">
        <f>$AK$79</f>
        <v>C1.75SH4.4</v>
      </c>
      <c r="G66" s="115" t="str">
        <f>$AS$79</f>
        <v>C1.75SH4.4</v>
      </c>
      <c r="H66" s="115" t="str">
        <f>$E$96</f>
        <v>C1.75A0.05SH4.3</v>
      </c>
      <c r="I66" s="115" t="str">
        <f>$M$96</f>
        <v>C1.75A0.05SH4.3</v>
      </c>
      <c r="J66" s="115" t="str">
        <f>$U$96</f>
        <v>C1.75A0.05SH4.3</v>
      </c>
      <c r="K66" s="115" t="str">
        <f>$AC$96</f>
        <v>C1.75A0.05SH4.3</v>
      </c>
      <c r="L66" s="115" t="str">
        <f>$AK$96</f>
        <v>C1.75A0.05SH4.3</v>
      </c>
      <c r="M66" s="115" t="str">
        <f>$AS$96</f>
        <v>C1.75A0.05SH4.3</v>
      </c>
      <c r="N66" s="115" t="str">
        <f>$E$112</f>
        <v>C1.75A0.05SH4.3</v>
      </c>
      <c r="O66" s="115" t="str">
        <f>$M$112</f>
        <v>C1.75A0.05SH4.3</v>
      </c>
      <c r="P66" s="115" t="str">
        <f>$U$112</f>
        <v>C1.75A0.05SH4.3</v>
      </c>
      <c r="Q66" s="115" t="str">
        <f>$AC$112</f>
        <v>C1.75A0.05SH4.3</v>
      </c>
      <c r="R66" s="115" t="str">
        <f>$AK$112</f>
        <v>C1.75A0.05SH4.3</v>
      </c>
      <c r="S66" s="115" t="str">
        <f>$AS$112</f>
        <v>C1.75A0.05SH4.3</v>
      </c>
      <c r="T66" s="115" t="str">
        <f>$E$129</f>
        <v>strätlingite</v>
      </c>
      <c r="U66" s="115" t="str">
        <f>$M$129</f>
        <v>strätlingite</v>
      </c>
      <c r="V66" s="115" t="str">
        <f>$U$129</f>
        <v>strätlingite</v>
      </c>
      <c r="W66" s="115" t="str">
        <f>$AC$129</f>
        <v>strätlingite</v>
      </c>
      <c r="X66" s="115" t="str">
        <f>$AK$129</f>
        <v>strätlingite</v>
      </c>
      <c r="Y66" s="115" t="str">
        <f>$AS$129</f>
        <v>strätlingite</v>
      </c>
      <c r="Z66" s="115" t="str">
        <f>$E$146</f>
        <v>strätlingite</v>
      </c>
      <c r="AA66" s="115" t="str">
        <f>$M$146</f>
        <v>strätlingite</v>
      </c>
      <c r="AB66" s="115" t="str">
        <f>$U$146</f>
        <v>strätlingite</v>
      </c>
      <c r="AC66" s="115" t="str">
        <f>$AC$146</f>
        <v>strätlingite</v>
      </c>
      <c r="AD66" s="115" t="str">
        <f>$AK$146</f>
        <v>strätlingite</v>
      </c>
      <c r="AE66" s="115" t="str">
        <f>$AS$146</f>
        <v>strätlingite</v>
      </c>
      <c r="AF66" s="115" t="str">
        <f>$E$180</f>
        <v>Ca-stilbite</v>
      </c>
      <c r="AG66" s="115" t="str">
        <f>$E$163</f>
        <v>Ca-stilbite</v>
      </c>
      <c r="AH66" s="115" t="str">
        <f>$M$180</f>
        <v>Ca-stilbite</v>
      </c>
      <c r="AI66" s="115" t="str">
        <f>$M$163</f>
        <v>Ca-stilbite</v>
      </c>
      <c r="AJ66" s="115" t="str">
        <f>$U$180</f>
        <v>Ca-stilbite</v>
      </c>
      <c r="AK66" s="115" t="str">
        <f>$U$163</f>
        <v>Ca-stilbite</v>
      </c>
      <c r="AL66" s="115" t="str">
        <f>$AC$180</f>
        <v>Ca-stilbite</v>
      </c>
      <c r="AM66" s="115" t="str">
        <f>$AC$163</f>
        <v>Ca-stilbite</v>
      </c>
      <c r="AN66" s="115" t="str">
        <f>$AK$180</f>
        <v>C0.67SH1.8</v>
      </c>
      <c r="AO66" s="115" t="str">
        <f>$AS$163</f>
        <v>strätlingite</v>
      </c>
      <c r="AP66" s="115" t="str">
        <f>$BA$180</f>
        <v>C0.67SH1.8</v>
      </c>
      <c r="AQ66" s="115" t="str">
        <f>$BI$180</f>
        <v>C1.75A0.05SH4.3</v>
      </c>
      <c r="AR66" s="115" t="str">
        <f>$BQ$180</f>
        <v>C0.67SH1.8</v>
      </c>
      <c r="AS66" s="115" t="str">
        <f>$AK$163</f>
        <v>C0.67SH1.8</v>
      </c>
      <c r="AT66" s="115" t="str">
        <f>$AS$163</f>
        <v>strätlingite</v>
      </c>
      <c r="AU66" s="115" t="str">
        <f>$AS$163</f>
        <v>strätlingite</v>
      </c>
      <c r="AV66" s="115" t="str">
        <f>$AS$163</f>
        <v>strätlingite</v>
      </c>
      <c r="AW66" s="116" t="str">
        <f>$AS$163</f>
        <v>strätlingite</v>
      </c>
    </row>
    <row r="67" spans="1:49" hidden="1" outlineLevel="1" x14ac:dyDescent="0.2">
      <c r="B67" s="114" t="str">
        <f>$F$79</f>
        <v>Hydrogarnet</v>
      </c>
      <c r="C67" s="115" t="str">
        <f>$N$79</f>
        <v>monosulphate</v>
      </c>
      <c r="D67" s="115" t="str">
        <f>$V$79</f>
        <v>monosulphate</v>
      </c>
      <c r="E67" s="115" t="str">
        <f>$AD$79</f>
        <v>Hemicarbonate</v>
      </c>
      <c r="F67" s="115" t="str">
        <f>$AL$79</f>
        <v>ettringite</v>
      </c>
      <c r="G67" s="115" t="str">
        <f>$AT$79</f>
        <v>ettringite</v>
      </c>
      <c r="H67" s="115" t="str">
        <f>$F$96</f>
        <v>Hydrogarnet</v>
      </c>
      <c r="I67" s="115" t="str">
        <f>$N$96</f>
        <v>monosulphate</v>
      </c>
      <c r="J67" s="115" t="str">
        <f>$V$96</f>
        <v>monosulphate</v>
      </c>
      <c r="K67" s="115" t="str">
        <f>$AD$96</f>
        <v>Hemicarbonate</v>
      </c>
      <c r="L67" s="115" t="str">
        <f>$AL$96</f>
        <v>ettringite</v>
      </c>
      <c r="M67" s="115" t="str">
        <f>$AT$96</f>
        <v>ettringite</v>
      </c>
      <c r="N67" s="115" t="str">
        <f>$F$112</f>
        <v>Hydrogarnet</v>
      </c>
      <c r="O67" s="115" t="str">
        <f>$N$112</f>
        <v>monosulphate</v>
      </c>
      <c r="P67" s="115" t="str">
        <f>$V$112</f>
        <v>monosulphate</v>
      </c>
      <c r="Q67" s="115" t="str">
        <f>$AD$112</f>
        <v>Hemicarbonate</v>
      </c>
      <c r="R67" s="115" t="str">
        <f>$AL$112</f>
        <v>ettringite</v>
      </c>
      <c r="S67" s="115" t="str">
        <f>$AT$112</f>
        <v>ettringite</v>
      </c>
      <c r="T67" s="115" t="str">
        <f>$F$129</f>
        <v>Hydrogarnet</v>
      </c>
      <c r="U67" s="115" t="str">
        <f>$N$129</f>
        <v>monosulphate</v>
      </c>
      <c r="V67" s="115" t="str">
        <f>$V$129</f>
        <v>monosulphate</v>
      </c>
      <c r="W67" s="115" t="str">
        <f>$AD$129</f>
        <v>Hemicarbonate</v>
      </c>
      <c r="X67" s="115" t="str">
        <f>$AL$129</f>
        <v>ettringite</v>
      </c>
      <c r="Y67" s="115" t="str">
        <f>$AT$129</f>
        <v>ettringite</v>
      </c>
      <c r="Z67" s="115" t="str">
        <f>$F$146</f>
        <v>Hydrogarnet</v>
      </c>
      <c r="AA67" s="115" t="str">
        <f>$N$146</f>
        <v>monosulphate</v>
      </c>
      <c r="AB67" s="115" t="str">
        <f>$V$146</f>
        <v>monosulphate</v>
      </c>
      <c r="AC67" s="115" t="str">
        <f>$AD$146</f>
        <v>Hemicarbonate</v>
      </c>
      <c r="AD67" s="115" t="str">
        <f>$AL$146</f>
        <v>ettringite</v>
      </c>
      <c r="AE67" s="115" t="str">
        <f>$AT$146</f>
        <v>ettringite</v>
      </c>
      <c r="AF67" s="115" t="str">
        <f>$F$180</f>
        <v>AH3</v>
      </c>
      <c r="AG67" s="115" t="str">
        <f>$F$163</f>
        <v>AH3</v>
      </c>
      <c r="AH67" s="115" t="str">
        <f>$N$180</f>
        <v>C0.67A0.05SH1.8</v>
      </c>
      <c r="AI67" s="115" t="str">
        <f>$N$163</f>
        <v>AH3</v>
      </c>
      <c r="AJ67" s="115" t="str">
        <f>$V$180</f>
        <v>C0.67A0.05SH1.8</v>
      </c>
      <c r="AK67" s="115" t="str">
        <f>$V$163</f>
        <v>C0.67A0.05SH1.8</v>
      </c>
      <c r="AL67" s="115" t="str">
        <f>$AD$180</f>
        <v>C0.67A0.05SH1.8</v>
      </c>
      <c r="AM67" s="115" t="str">
        <f>$AD$163</f>
        <v>C0.67A0.05SH1.8</v>
      </c>
      <c r="AN67" s="115" t="str">
        <f>$AL$180</f>
        <v>C0.67A0.05SH1.8</v>
      </c>
      <c r="AO67" s="115" t="str">
        <f>$AT$180</f>
        <v>C0.67A0.05SH1.8</v>
      </c>
      <c r="AP67" s="115" t="str">
        <f>$BB$180</f>
        <v>C0.67A0.05SH1.8</v>
      </c>
      <c r="AQ67" s="115" t="str">
        <f>$BJ$180</f>
        <v>C1.75SH4.4</v>
      </c>
      <c r="AR67" s="115" t="str">
        <f>$BR$180</f>
        <v>C1.75SH4.4</v>
      </c>
      <c r="AS67" s="115" t="str">
        <f>$AL$163</f>
        <v>C0.67A0.05SH1.8</v>
      </c>
      <c r="AT67" s="115" t="str">
        <f>$AT$163</f>
        <v>C0.67A0.05SH1.8</v>
      </c>
      <c r="AU67" s="115" t="str">
        <f>$AT$163</f>
        <v>C0.67A0.05SH1.8</v>
      </c>
      <c r="AV67" s="115" t="str">
        <f>$AT$163</f>
        <v>C0.67A0.05SH1.8</v>
      </c>
      <c r="AW67" s="116" t="str">
        <f>$AT$163</f>
        <v>C0.67A0.05SH1.8</v>
      </c>
    </row>
    <row r="68" spans="1:49" hidden="1" outlineLevel="1" x14ac:dyDescent="0.2">
      <c r="B68" s="114" t="str">
        <f>$G$79</f>
        <v>Hemicarbonate</v>
      </c>
      <c r="C68" s="115" t="str">
        <f>$O$79</f>
        <v>Hemisulphate</v>
      </c>
      <c r="D68" s="115" t="str">
        <f>$W$79</f>
        <v>ettringite</v>
      </c>
      <c r="E68" s="115" t="str">
        <f>$AE$79</f>
        <v>ettringite</v>
      </c>
      <c r="F68" s="115" t="str">
        <f>$AM$79</f>
        <v>monocarbonate</v>
      </c>
      <c r="G68" s="115" t="str">
        <f>$AU$79</f>
        <v>gypsum</v>
      </c>
      <c r="H68" s="115" t="str">
        <f>$G$96</f>
        <v>Hemicarbonate</v>
      </c>
      <c r="I68" s="115" t="str">
        <f>$O$96</f>
        <v>Hemisulphate</v>
      </c>
      <c r="J68" s="115" t="str">
        <f>$W$96</f>
        <v>ettringite</v>
      </c>
      <c r="K68" s="115" t="str">
        <f>$AE$96</f>
        <v>ettringite</v>
      </c>
      <c r="L68" s="115" t="str">
        <f>$AM$96</f>
        <v>monocarbonate</v>
      </c>
      <c r="M68" s="115" t="str">
        <f>$AU$96</f>
        <v>gypsum</v>
      </c>
      <c r="N68" s="115" t="str">
        <f>$G$112</f>
        <v>Hemicarbonate</v>
      </c>
      <c r="O68" s="115" t="str">
        <f>$O$112</f>
        <v>Hemisulphate</v>
      </c>
      <c r="P68" s="115" t="str">
        <f>$W$112</f>
        <v>ettringite</v>
      </c>
      <c r="Q68" s="115" t="str">
        <f>$AE$112</f>
        <v>ettringite</v>
      </c>
      <c r="R68" s="115" t="str">
        <f>$AM$112</f>
        <v>monocarbonate</v>
      </c>
      <c r="S68" s="115" t="str">
        <f>$AU$112</f>
        <v>gypsum</v>
      </c>
      <c r="T68" s="115" t="str">
        <f>$G$129</f>
        <v>Hemicarbonate</v>
      </c>
      <c r="U68" s="115" t="str">
        <f>$O$129</f>
        <v>Hemisulphate</v>
      </c>
      <c r="V68" s="115" t="str">
        <f>$W$129</f>
        <v>ettringite</v>
      </c>
      <c r="W68" s="115" t="str">
        <f>$AE$129</f>
        <v>ettringite</v>
      </c>
      <c r="X68" s="115" t="str">
        <f>$AM$129</f>
        <v>monocarbonate</v>
      </c>
      <c r="Y68" s="115" t="str">
        <f>$AU$129</f>
        <v>gypsum</v>
      </c>
      <c r="Z68" s="115" t="str">
        <f>$G$146</f>
        <v>Hemicarbonate</v>
      </c>
      <c r="AA68" s="115" t="str">
        <f>$O$146</f>
        <v>Hemisulphate</v>
      </c>
      <c r="AB68" s="115" t="str">
        <f>$W$146</f>
        <v>ettringite</v>
      </c>
      <c r="AC68" s="115" t="str">
        <f>$AE$146</f>
        <v>ettringite</v>
      </c>
      <c r="AD68" s="115" t="str">
        <f>$AM$146</f>
        <v>monocarbonate</v>
      </c>
      <c r="AE68" s="115" t="str">
        <f>$AU$146</f>
        <v>gypsum</v>
      </c>
      <c r="AF68" s="115" t="str">
        <f>$G$180</f>
        <v>ettringite</v>
      </c>
      <c r="AG68" s="115" t="str">
        <f>$G$163</f>
        <v>gypsum</v>
      </c>
      <c r="AH68" s="115" t="str">
        <f>$O$180</f>
        <v>ettringite</v>
      </c>
      <c r="AI68" s="115" t="str">
        <f>$O$163</f>
        <v>gypsum</v>
      </c>
      <c r="AJ68" s="115" t="str">
        <f>$W$180</f>
        <v>gypsum</v>
      </c>
      <c r="AK68" s="115" t="str">
        <f>$W$163</f>
        <v>gypsum</v>
      </c>
      <c r="AL68" s="115" t="str">
        <f>$AE$180</f>
        <v>gypsum</v>
      </c>
      <c r="AM68" s="115" t="str">
        <f>$AE$163</f>
        <v>gypsum</v>
      </c>
      <c r="AN68" s="115" t="str">
        <f>$AM$180</f>
        <v>ettringite</v>
      </c>
      <c r="AO68" s="115" t="str">
        <f>$AU$180</f>
        <v>ettringite</v>
      </c>
      <c r="AP68" s="115" t="str">
        <f>$BC$180</f>
        <v>ettringite</v>
      </c>
      <c r="AQ68" s="115" t="str">
        <f>$BK$180</f>
        <v>ettringite</v>
      </c>
      <c r="AR68" s="115" t="str">
        <f>$BS$180</f>
        <v>ettringite</v>
      </c>
      <c r="AS68" s="115" t="str">
        <f>$AM$163</f>
        <v>gypsum</v>
      </c>
      <c r="AT68" s="115" t="str">
        <f>$AU$163</f>
        <v>gypsum</v>
      </c>
      <c r="AU68" s="115" t="str">
        <f>$AU$163</f>
        <v>gypsum</v>
      </c>
      <c r="AV68" s="115" t="str">
        <f>$AU$163</f>
        <v>gypsum</v>
      </c>
      <c r="AW68" s="116" t="str">
        <f>$AU$163</f>
        <v>gypsum</v>
      </c>
    </row>
    <row r="69" spans="1:49" ht="13.5" hidden="1" outlineLevel="1" thickBot="1" x14ac:dyDescent="0.25">
      <c r="B69" s="124" t="str">
        <f>$H$79</f>
        <v>Hemisulphate</v>
      </c>
      <c r="C69" s="125" t="str">
        <f>$P$79</f>
        <v>Hemicarbonate</v>
      </c>
      <c r="D69" s="125" t="str">
        <f>$X$79</f>
        <v>Hemicarbonate</v>
      </c>
      <c r="E69" s="125" t="str">
        <f>$AF$79</f>
        <v>monocarbonate</v>
      </c>
      <c r="F69" s="125" t="str">
        <f>$AN$79</f>
        <v>calcite</v>
      </c>
      <c r="G69" s="125" t="str">
        <f>$AV$79</f>
        <v>calcite</v>
      </c>
      <c r="H69" s="125" t="str">
        <f>$H$96</f>
        <v>Hemisulphate</v>
      </c>
      <c r="I69" s="125" t="str">
        <f>$P$96</f>
        <v>Hemicarbonate</v>
      </c>
      <c r="J69" s="125" t="str">
        <f>$X$96</f>
        <v>Hemicarbonate</v>
      </c>
      <c r="K69" s="125" t="str">
        <f>$AF$96</f>
        <v>monocarbonate</v>
      </c>
      <c r="L69" s="125" t="str">
        <f>$AN$96</f>
        <v>calcite</v>
      </c>
      <c r="M69" s="125" t="str">
        <f>$AV$96</f>
        <v>calcite</v>
      </c>
      <c r="N69" s="125" t="str">
        <f>$H$112</f>
        <v>Hemisulphate</v>
      </c>
      <c r="O69" s="125" t="str">
        <f>$P$112</f>
        <v>Hemicarbonate</v>
      </c>
      <c r="P69" s="125" t="str">
        <f>$X$112</f>
        <v>Hemicarbonate</v>
      </c>
      <c r="Q69" s="125" t="str">
        <f>$AF$112</f>
        <v>monocarbonate</v>
      </c>
      <c r="R69" s="125" t="str">
        <f>$AN$112</f>
        <v>calcite</v>
      </c>
      <c r="S69" s="125" t="str">
        <f>$AV$112</f>
        <v>calcite</v>
      </c>
      <c r="T69" s="125" t="str">
        <f>$H$129</f>
        <v>Hemisulphate</v>
      </c>
      <c r="U69" s="125" t="str">
        <f>$P$129</f>
        <v>Hemicarbonate</v>
      </c>
      <c r="V69" s="125" t="str">
        <f>$X$129</f>
        <v>Hemicarbonate</v>
      </c>
      <c r="W69" s="125" t="str">
        <f>$AF$129</f>
        <v>monocarbonate</v>
      </c>
      <c r="X69" s="125" t="str">
        <f>$AN$129</f>
        <v>calcite</v>
      </c>
      <c r="Y69" s="125" t="str">
        <f>$AV$129</f>
        <v>calcite</v>
      </c>
      <c r="Z69" s="125" t="str">
        <f>$H$146</f>
        <v>Hemisulphate</v>
      </c>
      <c r="AA69" s="125" t="str">
        <f>$P$146</f>
        <v>Hemicarbonate</v>
      </c>
      <c r="AB69" s="125" t="str">
        <f>$X$146</f>
        <v>Hemicarbonate</v>
      </c>
      <c r="AC69" s="125" t="str">
        <f>$AF$146</f>
        <v>monocarbonate</v>
      </c>
      <c r="AD69" s="125" t="str">
        <f>$AN$146</f>
        <v>calcite</v>
      </c>
      <c r="AE69" s="125" t="str">
        <f>$AV$146</f>
        <v>calcite</v>
      </c>
      <c r="AF69" s="125" t="str">
        <f>$H$180</f>
        <v>calcite</v>
      </c>
      <c r="AG69" s="125" t="str">
        <f>$H$163</f>
        <v>calcite</v>
      </c>
      <c r="AH69" s="125" t="str">
        <f>$P$180</f>
        <v>calcite</v>
      </c>
      <c r="AI69" s="125" t="str">
        <f>$P$163</f>
        <v>calcite</v>
      </c>
      <c r="AJ69" s="125" t="str">
        <f>$X$180</f>
        <v>calcite</v>
      </c>
      <c r="AK69" s="125" t="str">
        <f>$X$163</f>
        <v>calcite</v>
      </c>
      <c r="AL69" s="125" t="str">
        <f>$AF$180</f>
        <v>calcite</v>
      </c>
      <c r="AM69" s="125" t="str">
        <f>$AF$163</f>
        <v>calcite</v>
      </c>
      <c r="AN69" s="125" t="str">
        <f>$AN$180</f>
        <v>calcite</v>
      </c>
      <c r="AO69" s="125" t="str">
        <f>$AV$180</f>
        <v>calcite</v>
      </c>
      <c r="AP69" s="125" t="str">
        <f>$BD$180</f>
        <v>calcite</v>
      </c>
      <c r="AQ69" s="125" t="str">
        <f>$BL$180</f>
        <v>calcite</v>
      </c>
      <c r="AR69" s="125" t="str">
        <f>$BT$180</f>
        <v>calcite</v>
      </c>
      <c r="AS69" s="125" t="str">
        <f>$AN$163</f>
        <v>calcite</v>
      </c>
      <c r="AT69" s="125" t="str">
        <f>$AV$163</f>
        <v>calcite</v>
      </c>
      <c r="AU69" s="125" t="str">
        <f>$AV$163</f>
        <v>calcite</v>
      </c>
      <c r="AV69" s="125" t="str">
        <f>$AV$163</f>
        <v>calcite</v>
      </c>
      <c r="AW69" s="126" t="str">
        <f>$AV$163</f>
        <v>calcite</v>
      </c>
    </row>
    <row r="70" spans="1:49" hidden="1" outlineLevel="1" x14ac:dyDescent="0.2">
      <c r="B70" s="127" t="s">
        <v>56</v>
      </c>
      <c r="C70" s="127" t="s">
        <v>57</v>
      </c>
      <c r="D70" s="127" t="s">
        <v>57</v>
      </c>
      <c r="E70" s="127" t="s">
        <v>57</v>
      </c>
      <c r="F70" s="127" t="s">
        <v>57</v>
      </c>
      <c r="G70" s="127" t="s">
        <v>57</v>
      </c>
    </row>
    <row r="71" spans="1:49" hidden="1" outlineLevel="1" x14ac:dyDescent="0.2"/>
    <row r="72" spans="1:49" ht="14.25" collapsed="1" x14ac:dyDescent="0.25">
      <c r="A72"/>
    </row>
    <row r="75" spans="1:49" x14ac:dyDescent="0.2">
      <c r="B75" s="128"/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</row>
    <row r="76" spans="1:49" ht="13.5" hidden="1" outlineLevel="1" thickBot="1" x14ac:dyDescent="0.25">
      <c r="B76" s="128"/>
      <c r="C76" s="128"/>
      <c r="D76" s="128"/>
      <c r="E76" s="128"/>
      <c r="F76" s="128"/>
      <c r="G76" s="128"/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28"/>
      <c r="AH76" s="128"/>
      <c r="AI76" s="128"/>
      <c r="AJ76" s="128"/>
      <c r="AK76" s="128"/>
    </row>
    <row r="77" spans="1:49" hidden="1" outlineLevel="1" x14ac:dyDescent="0.2">
      <c r="A77" s="106" t="s">
        <v>55</v>
      </c>
      <c r="B77" s="129"/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9"/>
      <c r="AF77" s="129"/>
      <c r="AG77" s="129"/>
      <c r="AH77" s="129"/>
      <c r="AI77" s="129"/>
      <c r="AJ77" s="129"/>
      <c r="AK77" s="129"/>
      <c r="AL77" s="130"/>
      <c r="AM77" s="130"/>
      <c r="AN77" s="130"/>
      <c r="AO77" s="130"/>
      <c r="AP77" s="130"/>
      <c r="AQ77" s="130"/>
      <c r="AR77" s="130"/>
      <c r="AS77" s="130"/>
      <c r="AT77" s="130"/>
      <c r="AU77" s="130"/>
      <c r="AV77" s="131"/>
    </row>
    <row r="78" spans="1:49" hidden="1" outlineLevel="1" x14ac:dyDescent="0.2">
      <c r="A78" s="132"/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4"/>
    </row>
    <row r="79" spans="1:49" hidden="1" outlineLevel="1" x14ac:dyDescent="0.2">
      <c r="A79" s="135" t="s">
        <v>58</v>
      </c>
      <c r="B79" s="136">
        <v>21</v>
      </c>
      <c r="C79" s="136" t="s">
        <v>59</v>
      </c>
      <c r="D79" s="136" t="str">
        <f>$C$202</f>
        <v>portlandite</v>
      </c>
      <c r="E79" s="136" t="str">
        <f>$D$202</f>
        <v>C1.75SH4.4</v>
      </c>
      <c r="F79" s="136" t="str">
        <f>$M$202</f>
        <v>Hydrogarnet</v>
      </c>
      <c r="G79" s="136" t="str">
        <f>$O$202</f>
        <v>Hemicarbonate</v>
      </c>
      <c r="H79" s="136" t="str">
        <f>$Q$202</f>
        <v>Hemisulphate</v>
      </c>
      <c r="I79" s="133"/>
      <c r="J79" s="136">
        <v>22</v>
      </c>
      <c r="K79" s="136" t="s">
        <v>59</v>
      </c>
      <c r="L79" s="136" t="str">
        <f>$C$202</f>
        <v>portlandite</v>
      </c>
      <c r="M79" s="136" t="str">
        <f>$D$202</f>
        <v>C1.75SH4.4</v>
      </c>
      <c r="N79" s="136" t="str">
        <f>$R$202</f>
        <v>monosulphate</v>
      </c>
      <c r="O79" s="136" t="str">
        <f>$Q$202</f>
        <v>Hemisulphate</v>
      </c>
      <c r="P79" s="136" t="str">
        <f>$O$202</f>
        <v>Hemicarbonate</v>
      </c>
      <c r="Q79" s="133"/>
      <c r="R79" s="136">
        <v>23</v>
      </c>
      <c r="S79" s="136" t="s">
        <v>59</v>
      </c>
      <c r="T79" s="136" t="str">
        <f>$C$202</f>
        <v>portlandite</v>
      </c>
      <c r="U79" s="136" t="str">
        <f>$D$202</f>
        <v>C1.75SH4.4</v>
      </c>
      <c r="V79" s="136" t="str">
        <f>$R$202</f>
        <v>monosulphate</v>
      </c>
      <c r="W79" s="136" t="str">
        <f>$S$202</f>
        <v>ettringite</v>
      </c>
      <c r="X79" s="136" t="str">
        <f>$O$202</f>
        <v>Hemicarbonate</v>
      </c>
      <c r="Y79" s="133"/>
      <c r="Z79" s="136">
        <v>24</v>
      </c>
      <c r="AA79" s="136" t="s">
        <v>59</v>
      </c>
      <c r="AB79" s="136" t="str">
        <f>$C$202</f>
        <v>portlandite</v>
      </c>
      <c r="AC79" s="136" t="str">
        <f>$D$202</f>
        <v>C1.75SH4.4</v>
      </c>
      <c r="AD79" s="136" t="str">
        <f>$O$202</f>
        <v>Hemicarbonate</v>
      </c>
      <c r="AE79" s="136" t="str">
        <f>$S$202</f>
        <v>ettringite</v>
      </c>
      <c r="AF79" s="136" t="str">
        <f>$P$202</f>
        <v>monocarbonate</v>
      </c>
      <c r="AG79" s="133"/>
      <c r="AH79" s="136">
        <v>25</v>
      </c>
      <c r="AI79" s="136" t="s">
        <v>59</v>
      </c>
      <c r="AJ79" s="136" t="str">
        <f>$C$202</f>
        <v>portlandite</v>
      </c>
      <c r="AK79" s="136" t="str">
        <f>$D$202</f>
        <v>C1.75SH4.4</v>
      </c>
      <c r="AL79" s="136" t="str">
        <f>$S$202</f>
        <v>ettringite</v>
      </c>
      <c r="AM79" s="136" t="str">
        <f>$P$202</f>
        <v>monocarbonate</v>
      </c>
      <c r="AN79" s="136" t="str">
        <f>$U$202</f>
        <v>calcite</v>
      </c>
      <c r="AO79" s="133"/>
      <c r="AP79" s="136">
        <v>26</v>
      </c>
      <c r="AQ79" s="136" t="s">
        <v>59</v>
      </c>
      <c r="AR79" s="136" t="str">
        <f>$C$202</f>
        <v>portlandite</v>
      </c>
      <c r="AS79" s="136" t="str">
        <f>$D$202</f>
        <v>C1.75SH4.4</v>
      </c>
      <c r="AT79" s="136" t="str">
        <f>$S$202</f>
        <v>ettringite</v>
      </c>
      <c r="AU79" s="136" t="str">
        <f>$T$202</f>
        <v>gypsum</v>
      </c>
      <c r="AV79" s="137" t="str">
        <f>$U$202</f>
        <v>calcite</v>
      </c>
    </row>
    <row r="80" spans="1:49" hidden="1" outlineLevel="1" x14ac:dyDescent="0.2">
      <c r="A80" s="132"/>
      <c r="B80" s="133"/>
      <c r="C80" s="138">
        <v>0</v>
      </c>
      <c r="D80" s="138">
        <f>$C$203</f>
        <v>0.75685479321304083</v>
      </c>
      <c r="E80" s="138">
        <f>$D$203</f>
        <v>0.42615545963501011</v>
      </c>
      <c r="F80" s="138">
        <f>$M$203</f>
        <v>0.44472323706657291</v>
      </c>
      <c r="G80" s="138">
        <f>$O$203</f>
        <v>0.34771498375494458</v>
      </c>
      <c r="H80" s="138">
        <f>$Q$203</f>
        <v>0.33182231315971239</v>
      </c>
      <c r="I80" s="133"/>
      <c r="J80" s="133"/>
      <c r="K80" s="138">
        <v>0</v>
      </c>
      <c r="L80" s="138">
        <f>$C$203</f>
        <v>0.75685479321304083</v>
      </c>
      <c r="M80" s="138">
        <f>$D$203</f>
        <v>0.42615545963501011</v>
      </c>
      <c r="N80" s="138">
        <f>$R$203</f>
        <v>0.27024452567298896</v>
      </c>
      <c r="O80" s="138">
        <f>$Q$203</f>
        <v>0.33182231315971239</v>
      </c>
      <c r="P80" s="138">
        <f>$O$203</f>
        <v>0.34771498375494458</v>
      </c>
      <c r="Q80" s="133"/>
      <c r="R80" s="133"/>
      <c r="S80" s="138">
        <v>0</v>
      </c>
      <c r="T80" s="138">
        <f>$C$203</f>
        <v>0.75685479321304083</v>
      </c>
      <c r="U80" s="138">
        <f>$D$203</f>
        <v>0.42615545963501011</v>
      </c>
      <c r="V80" s="138">
        <f>$R$203</f>
        <v>0.27024452567298896</v>
      </c>
      <c r="W80" s="138">
        <f>$S$203</f>
        <v>0.13403810838353239</v>
      </c>
      <c r="X80" s="138">
        <f>$O$203</f>
        <v>0.34771498375494458</v>
      </c>
      <c r="Y80" s="133"/>
      <c r="Z80" s="133"/>
      <c r="AA80" s="138">
        <v>0</v>
      </c>
      <c r="AB80" s="138">
        <f>$C$203</f>
        <v>0.75685479321304083</v>
      </c>
      <c r="AC80" s="138">
        <f>$D$203</f>
        <v>0.42615545963501011</v>
      </c>
      <c r="AD80" s="138">
        <f>$O$203</f>
        <v>0.34771498375494458</v>
      </c>
      <c r="AE80" s="138">
        <f>$S$203</f>
        <v>0.13403810838353239</v>
      </c>
      <c r="AF80" s="138">
        <f>$P$203</f>
        <v>0.29594963069652797</v>
      </c>
      <c r="AG80" s="133"/>
      <c r="AH80" s="133"/>
      <c r="AI80" s="138">
        <v>0</v>
      </c>
      <c r="AJ80" s="138">
        <f>$C$203</f>
        <v>0.75685479321304083</v>
      </c>
      <c r="AK80" s="138">
        <f>$D$203</f>
        <v>0.42615545963501011</v>
      </c>
      <c r="AL80" s="138">
        <f>$S$203</f>
        <v>0.13403810838353239</v>
      </c>
      <c r="AM80" s="138">
        <f>$P$203</f>
        <v>0.29594963069652797</v>
      </c>
      <c r="AN80" s="138">
        <f>$U$203</f>
        <v>0</v>
      </c>
      <c r="AO80" s="133"/>
      <c r="AP80" s="133"/>
      <c r="AQ80" s="138">
        <v>0</v>
      </c>
      <c r="AR80" s="138">
        <f>$C$203</f>
        <v>0.75685479321304083</v>
      </c>
      <c r="AS80" s="138">
        <f>$D$203</f>
        <v>0.42615545963501011</v>
      </c>
      <c r="AT80" s="138">
        <f>$S$203</f>
        <v>0.13403810838353239</v>
      </c>
      <c r="AU80" s="138">
        <f>$T$203</f>
        <v>0</v>
      </c>
      <c r="AV80" s="139">
        <f>$U$203</f>
        <v>0</v>
      </c>
    </row>
    <row r="81" spans="1:48" hidden="1" outlineLevel="1" x14ac:dyDescent="0.2">
      <c r="A81" s="132"/>
      <c r="B81" s="133"/>
      <c r="C81" s="138">
        <v>0</v>
      </c>
      <c r="D81" s="138">
        <f>$C$204</f>
        <v>0</v>
      </c>
      <c r="E81" s="138">
        <f>$D$204</f>
        <v>0.26091746135925231</v>
      </c>
      <c r="F81" s="138">
        <f>$M$204</f>
        <v>0</v>
      </c>
      <c r="G81" s="138">
        <f>$O$204</f>
        <v>0</v>
      </c>
      <c r="H81" s="138">
        <f>$Q$204</f>
        <v>0</v>
      </c>
      <c r="I81" s="133"/>
      <c r="J81" s="133"/>
      <c r="K81" s="138">
        <v>0</v>
      </c>
      <c r="L81" s="138">
        <f>$C$204</f>
        <v>0</v>
      </c>
      <c r="M81" s="138">
        <f>$D$204</f>
        <v>0.26091746135925231</v>
      </c>
      <c r="N81" s="138">
        <f>$R$204</f>
        <v>0</v>
      </c>
      <c r="O81" s="138">
        <f>$Q$204</f>
        <v>0</v>
      </c>
      <c r="P81" s="138">
        <f>$O$204</f>
        <v>0</v>
      </c>
      <c r="Q81" s="133"/>
      <c r="R81" s="133"/>
      <c r="S81" s="138">
        <v>0</v>
      </c>
      <c r="T81" s="138">
        <f>$C$204</f>
        <v>0</v>
      </c>
      <c r="U81" s="138">
        <f>$D$204</f>
        <v>0.26091746135925231</v>
      </c>
      <c r="V81" s="138">
        <f>$R$204</f>
        <v>0</v>
      </c>
      <c r="W81" s="138">
        <f>$S$204</f>
        <v>0</v>
      </c>
      <c r="X81" s="138">
        <f>$O$204</f>
        <v>0</v>
      </c>
      <c r="Y81" s="133"/>
      <c r="Z81" s="133"/>
      <c r="AA81" s="138">
        <v>0</v>
      </c>
      <c r="AB81" s="138">
        <f>$C$204</f>
        <v>0</v>
      </c>
      <c r="AC81" s="138">
        <f>$D$204</f>
        <v>0.26091746135925231</v>
      </c>
      <c r="AD81" s="138">
        <f>$O$204</f>
        <v>0</v>
      </c>
      <c r="AE81" s="138">
        <f>$S$204</f>
        <v>0</v>
      </c>
      <c r="AF81" s="138">
        <f>$P$204</f>
        <v>0</v>
      </c>
      <c r="AG81" s="133"/>
      <c r="AH81" s="133"/>
      <c r="AI81" s="138">
        <v>0</v>
      </c>
      <c r="AJ81" s="138">
        <f>$C$204</f>
        <v>0</v>
      </c>
      <c r="AK81" s="138">
        <f>$D$204</f>
        <v>0.26091746135925231</v>
      </c>
      <c r="AL81" s="138">
        <f>$S$204</f>
        <v>0</v>
      </c>
      <c r="AM81" s="138">
        <f>$P$204</f>
        <v>0</v>
      </c>
      <c r="AN81" s="138">
        <f>$U$204</f>
        <v>0</v>
      </c>
      <c r="AO81" s="133"/>
      <c r="AP81" s="133"/>
      <c r="AQ81" s="138">
        <v>0</v>
      </c>
      <c r="AR81" s="138">
        <f>$C$204</f>
        <v>0</v>
      </c>
      <c r="AS81" s="138">
        <f>$D$204</f>
        <v>0.26091746135925231</v>
      </c>
      <c r="AT81" s="138">
        <f>$S$204</f>
        <v>0</v>
      </c>
      <c r="AU81" s="138">
        <f>$T$204</f>
        <v>0</v>
      </c>
      <c r="AV81" s="139">
        <f>$U$204</f>
        <v>0</v>
      </c>
    </row>
    <row r="82" spans="1:48" hidden="1" outlineLevel="1" x14ac:dyDescent="0.2">
      <c r="A82" s="132"/>
      <c r="B82" s="133"/>
      <c r="C82" s="138">
        <v>0</v>
      </c>
      <c r="D82" s="138">
        <f>$C$205</f>
        <v>0</v>
      </c>
      <c r="E82" s="138">
        <f>$D$205</f>
        <v>0</v>
      </c>
      <c r="F82" s="138">
        <f>$M$205</f>
        <v>0.26953549681692768</v>
      </c>
      <c r="G82" s="138">
        <f>$O$205</f>
        <v>0.18063535716911364</v>
      </c>
      <c r="H82" s="138">
        <f>$Q$205</f>
        <v>0.17237923257436782</v>
      </c>
      <c r="I82" s="133"/>
      <c r="J82" s="133"/>
      <c r="K82" s="138">
        <v>0</v>
      </c>
      <c r="L82" s="138">
        <f>$C$205</f>
        <v>0</v>
      </c>
      <c r="M82" s="138">
        <f>$D$205</f>
        <v>0</v>
      </c>
      <c r="N82" s="138">
        <f>$R$205</f>
        <v>0.16378836637767183</v>
      </c>
      <c r="O82" s="138">
        <f>$Q$205</f>
        <v>0.17237923257436782</v>
      </c>
      <c r="P82" s="138">
        <f>$O$205</f>
        <v>0.18063535716911364</v>
      </c>
      <c r="Q82" s="133"/>
      <c r="R82" s="133"/>
      <c r="S82" s="138">
        <v>0</v>
      </c>
      <c r="T82" s="138">
        <f>$C$205</f>
        <v>0</v>
      </c>
      <c r="U82" s="138">
        <f>$D$205</f>
        <v>0</v>
      </c>
      <c r="V82" s="138">
        <f>$R$205</f>
        <v>0.16378836637767183</v>
      </c>
      <c r="W82" s="138">
        <f>$S$205</f>
        <v>8.1237104617828668E-2</v>
      </c>
      <c r="X82" s="138">
        <f>$O$205</f>
        <v>0.18063535716911364</v>
      </c>
      <c r="Y82" s="133"/>
      <c r="Z82" s="133"/>
      <c r="AA82" s="138">
        <v>0</v>
      </c>
      <c r="AB82" s="138">
        <f>$C$205</f>
        <v>0</v>
      </c>
      <c r="AC82" s="138">
        <f>$D$205</f>
        <v>0</v>
      </c>
      <c r="AD82" s="138">
        <f>$O$205</f>
        <v>0.18063535716911364</v>
      </c>
      <c r="AE82" s="138">
        <f>$S$205</f>
        <v>8.1237104617828668E-2</v>
      </c>
      <c r="AF82" s="138">
        <f>$P$205</f>
        <v>0.17936757986548366</v>
      </c>
      <c r="AG82" s="133"/>
      <c r="AH82" s="133"/>
      <c r="AI82" s="138">
        <v>0</v>
      </c>
      <c r="AJ82" s="138">
        <f>$C$205</f>
        <v>0</v>
      </c>
      <c r="AK82" s="138">
        <f>$D$205</f>
        <v>0</v>
      </c>
      <c r="AL82" s="138">
        <f>$S$205</f>
        <v>8.1237104617828668E-2</v>
      </c>
      <c r="AM82" s="138">
        <f>$P$205</f>
        <v>0.17936757986548366</v>
      </c>
      <c r="AN82" s="138">
        <f>$U$205</f>
        <v>0</v>
      </c>
      <c r="AO82" s="133"/>
      <c r="AP82" s="133"/>
      <c r="AQ82" s="138">
        <v>0</v>
      </c>
      <c r="AR82" s="138">
        <f>$C$205</f>
        <v>0</v>
      </c>
      <c r="AS82" s="138">
        <f>$D$205</f>
        <v>0</v>
      </c>
      <c r="AT82" s="138">
        <f>$S$205</f>
        <v>8.1237104617828668E-2</v>
      </c>
      <c r="AU82" s="138">
        <f>$T$205</f>
        <v>0</v>
      </c>
      <c r="AV82" s="139">
        <f>$U$205</f>
        <v>0</v>
      </c>
    </row>
    <row r="83" spans="1:48" hidden="1" outlineLevel="1" x14ac:dyDescent="0.2">
      <c r="A83" s="132"/>
      <c r="B83" s="133"/>
      <c r="C83" s="138">
        <v>0</v>
      </c>
      <c r="D83" s="138">
        <f>$C$206</f>
        <v>0</v>
      </c>
      <c r="E83" s="138">
        <f>$D$206</f>
        <v>0</v>
      </c>
      <c r="F83" s="138">
        <f>$M$206</f>
        <v>0</v>
      </c>
      <c r="G83" s="138">
        <f>$O$206</f>
        <v>8.8657613334625476E-2</v>
      </c>
      <c r="H83" s="138">
        <f>$Q$206</f>
        <v>0</v>
      </c>
      <c r="I83" s="133"/>
      <c r="J83" s="133"/>
      <c r="K83" s="138">
        <v>0</v>
      </c>
      <c r="L83" s="138">
        <f>$C$206</f>
        <v>0</v>
      </c>
      <c r="M83" s="138">
        <f>$D$206</f>
        <v>0</v>
      </c>
      <c r="N83" s="138">
        <f>$R$206</f>
        <v>0</v>
      </c>
      <c r="O83" s="138">
        <f>$Q$206</f>
        <v>0</v>
      </c>
      <c r="P83" s="138">
        <f>$O$206</f>
        <v>8.8657613334625476E-2</v>
      </c>
      <c r="Q83" s="133"/>
      <c r="R83" s="133"/>
      <c r="S83" s="138">
        <v>0</v>
      </c>
      <c r="T83" s="138">
        <f>$C$206</f>
        <v>0</v>
      </c>
      <c r="U83" s="138">
        <f>$D$206</f>
        <v>0</v>
      </c>
      <c r="V83" s="138">
        <f>$R$206</f>
        <v>0</v>
      </c>
      <c r="W83" s="138">
        <f>$S$206</f>
        <v>0</v>
      </c>
      <c r="X83" s="138">
        <f>$O$206</f>
        <v>8.8657613334625476E-2</v>
      </c>
      <c r="Y83" s="133"/>
      <c r="Z83" s="133"/>
      <c r="AA83" s="138">
        <v>0</v>
      </c>
      <c r="AB83" s="138">
        <f>$C$206</f>
        <v>0</v>
      </c>
      <c r="AC83" s="138">
        <f>$D$206</f>
        <v>0</v>
      </c>
      <c r="AD83" s="138">
        <f>$O$206</f>
        <v>8.8657613334625476E-2</v>
      </c>
      <c r="AE83" s="138">
        <f>$S$206</f>
        <v>0</v>
      </c>
      <c r="AF83" s="138">
        <f>$P$206</f>
        <v>0.17607075148187762</v>
      </c>
      <c r="AG83" s="133"/>
      <c r="AH83" s="133"/>
      <c r="AI83" s="138">
        <v>0</v>
      </c>
      <c r="AJ83" s="138">
        <f>$C$206</f>
        <v>0</v>
      </c>
      <c r="AK83" s="138">
        <f>$D$206</f>
        <v>0</v>
      </c>
      <c r="AL83" s="138">
        <f>$S$206</f>
        <v>0</v>
      </c>
      <c r="AM83" s="138">
        <f>$P$206</f>
        <v>0.17607075148187762</v>
      </c>
      <c r="AN83" s="138">
        <f>$U$206</f>
        <v>1</v>
      </c>
      <c r="AO83" s="133"/>
      <c r="AP83" s="133"/>
      <c r="AQ83" s="138">
        <v>0</v>
      </c>
      <c r="AR83" s="138">
        <f>$C$206</f>
        <v>0</v>
      </c>
      <c r="AS83" s="138">
        <f>$D$206</f>
        <v>0</v>
      </c>
      <c r="AT83" s="138">
        <f>$S$206</f>
        <v>0</v>
      </c>
      <c r="AU83" s="138">
        <f>$T$206</f>
        <v>0</v>
      </c>
      <c r="AV83" s="139">
        <f>$U$206</f>
        <v>1</v>
      </c>
    </row>
    <row r="84" spans="1:48" hidden="1" outlineLevel="1" x14ac:dyDescent="0.2">
      <c r="A84" s="132"/>
      <c r="B84" s="133"/>
      <c r="C84" s="138">
        <v>0</v>
      </c>
      <c r="D84" s="138">
        <f>$C$207</f>
        <v>0</v>
      </c>
      <c r="E84" s="138">
        <f>$D$207</f>
        <v>0</v>
      </c>
      <c r="F84" s="138">
        <f>$M$207</f>
        <v>0</v>
      </c>
      <c r="G84" s="138">
        <f>$O$207</f>
        <v>0</v>
      </c>
      <c r="H84" s="138">
        <f>$Q$207</f>
        <v>0.1150828284510447</v>
      </c>
      <c r="I84" s="133"/>
      <c r="J84" s="133"/>
      <c r="K84" s="138">
        <v>0</v>
      </c>
      <c r="L84" s="138">
        <f>$C$207</f>
        <v>0</v>
      </c>
      <c r="M84" s="138">
        <f>$D$207</f>
        <v>0</v>
      </c>
      <c r="N84" s="138">
        <f>$R$207</f>
        <v>0.21869488787736116</v>
      </c>
      <c r="O84" s="138">
        <f>$Q$207</f>
        <v>0.1150828284510447</v>
      </c>
      <c r="P84" s="138">
        <f>$O$207</f>
        <v>0</v>
      </c>
      <c r="Q84" s="133"/>
      <c r="R84" s="133"/>
      <c r="S84" s="138">
        <v>0</v>
      </c>
      <c r="T84" s="138">
        <f>$C$207</f>
        <v>0</v>
      </c>
      <c r="U84" s="138">
        <f>$D$207</f>
        <v>0</v>
      </c>
      <c r="V84" s="138">
        <f>$R$207</f>
        <v>0.21869488787736116</v>
      </c>
      <c r="W84" s="138">
        <f>$S$207</f>
        <v>0.32541028179458237</v>
      </c>
      <c r="X84" s="138">
        <f>$O$207</f>
        <v>0</v>
      </c>
      <c r="Y84" s="133"/>
      <c r="Z84" s="133"/>
      <c r="AA84" s="138">
        <v>0</v>
      </c>
      <c r="AB84" s="138">
        <f>$C$207</f>
        <v>0</v>
      </c>
      <c r="AC84" s="138">
        <f>$D$207</f>
        <v>0</v>
      </c>
      <c r="AD84" s="138">
        <f>$O$207</f>
        <v>0</v>
      </c>
      <c r="AE84" s="138">
        <f>$S$207</f>
        <v>0.32541028179458237</v>
      </c>
      <c r="AF84" s="138">
        <f>$P$207</f>
        <v>0</v>
      </c>
      <c r="AG84" s="133"/>
      <c r="AH84" s="133"/>
      <c r="AI84" s="138">
        <v>0</v>
      </c>
      <c r="AJ84" s="138">
        <f>$C$207</f>
        <v>0</v>
      </c>
      <c r="AK84" s="138">
        <f>$D$207</f>
        <v>0</v>
      </c>
      <c r="AL84" s="138">
        <f>$S$207</f>
        <v>0.32541028179458237</v>
      </c>
      <c r="AM84" s="138">
        <f>$P$207</f>
        <v>0</v>
      </c>
      <c r="AN84" s="138">
        <f>$U$207</f>
        <v>0</v>
      </c>
      <c r="AO84" s="133"/>
      <c r="AP84" s="133"/>
      <c r="AQ84" s="138">
        <v>0</v>
      </c>
      <c r="AR84" s="138">
        <f>$C$207</f>
        <v>0</v>
      </c>
      <c r="AS84" s="138">
        <f>$D$207</f>
        <v>0</v>
      </c>
      <c r="AT84" s="138">
        <f>$S$207</f>
        <v>0.32541028179458237</v>
      </c>
      <c r="AU84" s="138">
        <f>$T$207</f>
        <v>0.79072946520505982</v>
      </c>
      <c r="AV84" s="139">
        <f>$U$207</f>
        <v>0</v>
      </c>
    </row>
    <row r="85" spans="1:48" hidden="1" outlineLevel="1" x14ac:dyDescent="0.2">
      <c r="A85" s="132"/>
      <c r="B85" s="133"/>
      <c r="C85" s="138">
        <v>1</v>
      </c>
      <c r="D85" s="138">
        <f>$C$208</f>
        <v>0.24314520678695925</v>
      </c>
      <c r="E85" s="138">
        <f>$D$208</f>
        <v>0.31292707900573768</v>
      </c>
      <c r="F85" s="138">
        <f>$M$208</f>
        <v>0.2857412661164993</v>
      </c>
      <c r="G85" s="138">
        <f>$O$208</f>
        <v>0.3829920457413164</v>
      </c>
      <c r="H85" s="138">
        <f>$Q$208</f>
        <v>0.38071562581487517</v>
      </c>
      <c r="I85" s="133"/>
      <c r="J85" s="133"/>
      <c r="K85" s="138">
        <v>1</v>
      </c>
      <c r="L85" s="138">
        <f>$C$208</f>
        <v>0.24314520678695925</v>
      </c>
      <c r="M85" s="138">
        <f>$D$208</f>
        <v>0.31292707900573768</v>
      </c>
      <c r="N85" s="138">
        <f>$R$208</f>
        <v>0.34727222007197794</v>
      </c>
      <c r="O85" s="138">
        <f>$Q$208</f>
        <v>0.38071562581487517</v>
      </c>
      <c r="P85" s="138">
        <f>$O$208</f>
        <v>0.3829920457413164</v>
      </c>
      <c r="Q85" s="133"/>
      <c r="R85" s="133"/>
      <c r="S85" s="138">
        <v>1</v>
      </c>
      <c r="T85" s="138">
        <f>$C$208</f>
        <v>0.24314520678695925</v>
      </c>
      <c r="U85" s="138">
        <f>$D$208</f>
        <v>0.31292707900573768</v>
      </c>
      <c r="V85" s="138">
        <f>$R$208</f>
        <v>0.34727222007197794</v>
      </c>
      <c r="W85" s="138">
        <f>$S$208</f>
        <v>0.45931450520405653</v>
      </c>
      <c r="X85" s="138">
        <f>$O$208</f>
        <v>0.3829920457413164</v>
      </c>
      <c r="Y85" s="133"/>
      <c r="Z85" s="133"/>
      <c r="AA85" s="138">
        <v>1</v>
      </c>
      <c r="AB85" s="138">
        <f>$C$208</f>
        <v>0.24314520678695925</v>
      </c>
      <c r="AC85" s="138">
        <f>$D$208</f>
        <v>0.31292707900573768</v>
      </c>
      <c r="AD85" s="138">
        <f>$O$208</f>
        <v>0.3829920457413164</v>
      </c>
      <c r="AE85" s="138">
        <f>$S$208</f>
        <v>0.45931450520405653</v>
      </c>
      <c r="AF85" s="138">
        <f>$P$208</f>
        <v>0.34861203795611073</v>
      </c>
      <c r="AG85" s="133"/>
      <c r="AH85" s="133"/>
      <c r="AI85" s="138">
        <v>1</v>
      </c>
      <c r="AJ85" s="138">
        <f>$C$208</f>
        <v>0.24314520678695925</v>
      </c>
      <c r="AK85" s="138">
        <f>$D$208</f>
        <v>0.31292707900573768</v>
      </c>
      <c r="AL85" s="138">
        <f>$S$208</f>
        <v>0.45931450520405653</v>
      </c>
      <c r="AM85" s="138">
        <f>$P$208</f>
        <v>0.34861203795611073</v>
      </c>
      <c r="AN85" s="138">
        <f>$U$208</f>
        <v>0</v>
      </c>
      <c r="AO85" s="133"/>
      <c r="AP85" s="133"/>
      <c r="AQ85" s="138">
        <v>1</v>
      </c>
      <c r="AR85" s="138">
        <f>$C$208</f>
        <v>0.24314520678695925</v>
      </c>
      <c r="AS85" s="138">
        <f>$D$208</f>
        <v>0.31292707900573768</v>
      </c>
      <c r="AT85" s="138">
        <f>$S$208</f>
        <v>0.45931450520405653</v>
      </c>
      <c r="AU85" s="138">
        <f>$T$208</f>
        <v>0.20927053479494012</v>
      </c>
      <c r="AV85" s="139">
        <f>$U$208</f>
        <v>0</v>
      </c>
    </row>
    <row r="86" spans="1:48" hidden="1" outlineLevel="1" x14ac:dyDescent="0.2">
      <c r="A86" s="132"/>
      <c r="B86" s="133"/>
      <c r="C86" s="140">
        <f t="shared" ref="C86:H86" si="60">SUM(C80:C85)</f>
        <v>1</v>
      </c>
      <c r="D86" s="140">
        <f t="shared" si="60"/>
        <v>1</v>
      </c>
      <c r="E86" s="140">
        <f t="shared" si="60"/>
        <v>1</v>
      </c>
      <c r="F86" s="140">
        <f t="shared" si="60"/>
        <v>0.99999999999999989</v>
      </c>
      <c r="G86" s="140">
        <f t="shared" si="60"/>
        <v>1</v>
      </c>
      <c r="H86" s="140">
        <f t="shared" si="60"/>
        <v>1</v>
      </c>
      <c r="I86" s="133"/>
      <c r="J86" s="133"/>
      <c r="K86" s="140">
        <f t="shared" ref="K86:P86" si="61">SUM(K80:K85)</f>
        <v>1</v>
      </c>
      <c r="L86" s="140">
        <f t="shared" si="61"/>
        <v>1</v>
      </c>
      <c r="M86" s="140">
        <f t="shared" si="61"/>
        <v>1</v>
      </c>
      <c r="N86" s="140">
        <f t="shared" si="61"/>
        <v>0.99999999999999978</v>
      </c>
      <c r="O86" s="140">
        <f t="shared" si="61"/>
        <v>1</v>
      </c>
      <c r="P86" s="140">
        <f t="shared" si="61"/>
        <v>1</v>
      </c>
      <c r="Q86" s="133"/>
      <c r="R86" s="133"/>
      <c r="S86" s="140">
        <f t="shared" ref="S86:X86" si="62">SUM(S80:S85)</f>
        <v>1</v>
      </c>
      <c r="T86" s="140">
        <f t="shared" si="62"/>
        <v>1</v>
      </c>
      <c r="U86" s="140">
        <f t="shared" si="62"/>
        <v>1</v>
      </c>
      <c r="V86" s="140">
        <f t="shared" si="62"/>
        <v>0.99999999999999978</v>
      </c>
      <c r="W86" s="140">
        <f t="shared" si="62"/>
        <v>1</v>
      </c>
      <c r="X86" s="140">
        <f t="shared" si="62"/>
        <v>1</v>
      </c>
      <c r="Y86" s="133"/>
      <c r="Z86" s="133"/>
      <c r="AA86" s="140">
        <f t="shared" ref="AA86:AF86" si="63">SUM(AA80:AA85)</f>
        <v>1</v>
      </c>
      <c r="AB86" s="140">
        <f t="shared" si="63"/>
        <v>1</v>
      </c>
      <c r="AC86" s="140">
        <f t="shared" si="63"/>
        <v>1</v>
      </c>
      <c r="AD86" s="140">
        <f t="shared" si="63"/>
        <v>1</v>
      </c>
      <c r="AE86" s="140">
        <f t="shared" si="63"/>
        <v>1</v>
      </c>
      <c r="AF86" s="140">
        <f t="shared" si="63"/>
        <v>0.99999999999999989</v>
      </c>
      <c r="AG86" s="133"/>
      <c r="AH86" s="133"/>
      <c r="AI86" s="140">
        <f t="shared" ref="AI86:AN86" si="64">SUM(AI80:AI85)</f>
        <v>1</v>
      </c>
      <c r="AJ86" s="140">
        <f t="shared" si="64"/>
        <v>1</v>
      </c>
      <c r="AK86" s="140">
        <f t="shared" si="64"/>
        <v>1</v>
      </c>
      <c r="AL86" s="140">
        <f t="shared" si="64"/>
        <v>1</v>
      </c>
      <c r="AM86" s="140">
        <f t="shared" si="64"/>
        <v>0.99999999999999989</v>
      </c>
      <c r="AN86" s="140">
        <f t="shared" si="64"/>
        <v>1</v>
      </c>
      <c r="AO86" s="133"/>
      <c r="AP86" s="133"/>
      <c r="AQ86" s="140">
        <f t="shared" ref="AQ86:AV86" si="65">SUM(AQ80:AQ85)</f>
        <v>1</v>
      </c>
      <c r="AR86" s="140">
        <f t="shared" si="65"/>
        <v>1</v>
      </c>
      <c r="AS86" s="140">
        <f t="shared" si="65"/>
        <v>1</v>
      </c>
      <c r="AT86" s="140">
        <f t="shared" si="65"/>
        <v>1</v>
      </c>
      <c r="AU86" s="140">
        <f t="shared" si="65"/>
        <v>1</v>
      </c>
      <c r="AV86" s="141">
        <f t="shared" si="65"/>
        <v>1</v>
      </c>
    </row>
    <row r="87" spans="1:48" hidden="1" outlineLevel="1" x14ac:dyDescent="0.2">
      <c r="A87" s="132"/>
      <c r="B87" s="142">
        <f t="array" ref="B87:B92">MMULT(C87:H92,$V$19:$V$24)</f>
        <v>6.2283649378083865</v>
      </c>
      <c r="C87" s="138">
        <f t="array" ref="C87:H92">MINVERSE(C80:H85)</f>
        <v>-0.32125740494388111</v>
      </c>
      <c r="D87" s="138">
        <v>-0.67462515166191506</v>
      </c>
      <c r="E87" s="138">
        <v>-0.5300624027093892</v>
      </c>
      <c r="F87" s="138">
        <v>-1.9799542798679552</v>
      </c>
      <c r="G87" s="138">
        <v>-1.5879302138361819</v>
      </c>
      <c r="H87" s="138">
        <v>1</v>
      </c>
      <c r="I87" s="133"/>
      <c r="J87" s="142">
        <f t="array" ref="J87:J92">MMULT(K87:P92,$V$19:$V$24)</f>
        <v>9.4145953372741218</v>
      </c>
      <c r="K87" s="138">
        <f t="array" ref="K87:P92">MINVERSE(K80:P85)</f>
        <v>-0.32125740494388111</v>
      </c>
      <c r="L87" s="138">
        <v>-0.67462515166191506</v>
      </c>
      <c r="M87" s="138">
        <v>-1.5901872081281683</v>
      </c>
      <c r="N87" s="138">
        <v>0.17999584362435961</v>
      </c>
      <c r="O87" s="138">
        <v>0</v>
      </c>
      <c r="P87" s="138">
        <v>1</v>
      </c>
      <c r="Q87" s="133"/>
      <c r="R87" s="142">
        <f t="array" ref="R87:R92">MMULT(S87:X92,$V$19:$V$24)</f>
        <v>9.513818796145749</v>
      </c>
      <c r="S87" s="138">
        <f t="array" ref="S87:X92">MINVERSE(S80:X85)</f>
        <v>-0.32125740494388111</v>
      </c>
      <c r="T87" s="138">
        <v>-0.67462515166191506</v>
      </c>
      <c r="U87" s="138">
        <v>0.17668746756979781</v>
      </c>
      <c r="V87" s="138">
        <v>-3.4199210288628343</v>
      </c>
      <c r="W87" s="138">
        <v>-1.3232751781968188</v>
      </c>
      <c r="X87" s="138">
        <v>1</v>
      </c>
      <c r="Y87" s="133"/>
      <c r="Z87" s="142">
        <f t="array" ref="Z87:Z92">MMULT(AA87:AF92,$V$19:$V$24)</f>
        <v>5.8081903652866664</v>
      </c>
      <c r="AA87" s="138">
        <f t="array" ref="AA87:AF92">MINVERSE(AA80:AF85)</f>
        <v>-0.32125740494388111</v>
      </c>
      <c r="AB87" s="138">
        <v>-0.67462515166191506</v>
      </c>
      <c r="AC87" s="138">
        <v>-1.5901872081281685</v>
      </c>
      <c r="AD87" s="138">
        <v>0.17999584362435916</v>
      </c>
      <c r="AE87" s="138">
        <v>-0.88218345213121252</v>
      </c>
      <c r="AF87" s="138">
        <v>1</v>
      </c>
      <c r="AG87" s="133"/>
      <c r="AH87" s="142">
        <f t="array" ref="AH87:AH92">MMULT(AI87:AN92,$V$19:$V$24)</f>
        <v>6.1787532083725694</v>
      </c>
      <c r="AI87" s="138">
        <f t="array" ref="AI87:AN92">MINVERSE(AI80:AN85)</f>
        <v>-0.32125740494388111</v>
      </c>
      <c r="AJ87" s="138">
        <v>-0.67462515166191506</v>
      </c>
      <c r="AK87" s="138">
        <v>-1.4134997405583718</v>
      </c>
      <c r="AL87" s="138">
        <v>0</v>
      </c>
      <c r="AM87" s="138">
        <v>-0.9262926247377733</v>
      </c>
      <c r="AN87" s="138">
        <v>1</v>
      </c>
      <c r="AO87" s="133"/>
      <c r="AP87" s="142">
        <f t="array" ref="AP87:AP92">MMULT(AQ87:AV92,$V$19:$V$24)</f>
        <v>0.62031056208395796</v>
      </c>
      <c r="AQ87" s="138">
        <f t="array" ref="AQ87:AV92">MINVERSE(AQ80:AV85)</f>
        <v>-0.32125740494388111</v>
      </c>
      <c r="AR87" s="138">
        <v>-0.67462515166191506</v>
      </c>
      <c r="AS87" s="138">
        <v>-4.0638117541053198</v>
      </c>
      <c r="AT87" s="138">
        <v>0</v>
      </c>
      <c r="AU87" s="138">
        <v>-0.26465503563936371</v>
      </c>
      <c r="AV87" s="139">
        <v>1</v>
      </c>
    </row>
    <row r="88" spans="1:48" hidden="1" outlineLevel="1" x14ac:dyDescent="0.2">
      <c r="A88" s="132"/>
      <c r="B88" s="142">
        <v>11.218570816585373</v>
      </c>
      <c r="C88" s="138">
        <v>1.321257404943881</v>
      </c>
      <c r="D88" s="138">
        <v>-2.1580045036723403</v>
      </c>
      <c r="E88" s="138">
        <v>-2.1800240675680822</v>
      </c>
      <c r="F88" s="138">
        <v>-0.74028127472843619</v>
      </c>
      <c r="G88" s="138">
        <v>-0.54423247559893539</v>
      </c>
      <c r="H88" s="138">
        <v>0</v>
      </c>
      <c r="I88" s="133"/>
      <c r="J88" s="142">
        <v>13.402608934911292</v>
      </c>
      <c r="K88" s="138">
        <v>1.321257404943881</v>
      </c>
      <c r="L88" s="138">
        <v>-2.1580045036723403</v>
      </c>
      <c r="M88" s="138">
        <v>-2.9066987567574425</v>
      </c>
      <c r="N88" s="138">
        <v>0.74028127472843619</v>
      </c>
      <c r="O88" s="138">
        <v>0.54423247559893539</v>
      </c>
      <c r="P88" s="138">
        <v>0</v>
      </c>
      <c r="Q88" s="133"/>
      <c r="R88" s="142">
        <v>13.443417248668657</v>
      </c>
      <c r="S88" s="138">
        <v>1.321257404943881</v>
      </c>
      <c r="T88" s="138">
        <v>-2.1580045036723403</v>
      </c>
      <c r="U88" s="138">
        <v>-2.1800240675680818</v>
      </c>
      <c r="V88" s="138">
        <v>-0.74028127472843674</v>
      </c>
      <c r="W88" s="138">
        <v>-2.9337807848503616E-16</v>
      </c>
      <c r="X88" s="138">
        <v>0</v>
      </c>
      <c r="Y88" s="133"/>
      <c r="Z88" s="142">
        <v>11.9193779801891</v>
      </c>
      <c r="AA88" s="138">
        <v>1.321257404943881</v>
      </c>
      <c r="AB88" s="138">
        <v>-2.1580045036723403</v>
      </c>
      <c r="AC88" s="138">
        <v>-2.9066987567574429</v>
      </c>
      <c r="AD88" s="138">
        <v>0.74028127472843674</v>
      </c>
      <c r="AE88" s="138">
        <v>0.18141082519964508</v>
      </c>
      <c r="AF88" s="138">
        <v>0</v>
      </c>
      <c r="AG88" s="133"/>
      <c r="AH88" s="142">
        <v>13.443417248668659</v>
      </c>
      <c r="AI88" s="138">
        <v>1.321257404943881</v>
      </c>
      <c r="AJ88" s="138">
        <v>-2.1580045036723403</v>
      </c>
      <c r="AK88" s="138">
        <v>-2.1800240675680818</v>
      </c>
      <c r="AL88" s="138">
        <v>0</v>
      </c>
      <c r="AM88" s="138">
        <v>0</v>
      </c>
      <c r="AN88" s="138">
        <v>0</v>
      </c>
      <c r="AO88" s="133"/>
      <c r="AP88" s="142">
        <v>13.443417248668657</v>
      </c>
      <c r="AQ88" s="138">
        <v>1.321257404943881</v>
      </c>
      <c r="AR88" s="138">
        <v>-2.1580045036723403</v>
      </c>
      <c r="AS88" s="138">
        <v>-2.1800240675680822</v>
      </c>
      <c r="AT88" s="138">
        <v>0</v>
      </c>
      <c r="AU88" s="138">
        <v>0</v>
      </c>
      <c r="AV88" s="139">
        <v>0</v>
      </c>
    </row>
    <row r="89" spans="1:48" hidden="1" outlineLevel="1" x14ac:dyDescent="0.2">
      <c r="A89" s="132"/>
      <c r="B89" s="142">
        <v>54.787428471314897</v>
      </c>
      <c r="C89" s="138">
        <v>0</v>
      </c>
      <c r="D89" s="138">
        <v>3.8326296553342551</v>
      </c>
      <c r="E89" s="138">
        <v>0</v>
      </c>
      <c r="F89" s="138">
        <v>0</v>
      </c>
      <c r="G89" s="138">
        <v>0</v>
      </c>
      <c r="H89" s="138">
        <v>0</v>
      </c>
      <c r="I89" s="133"/>
      <c r="J89" s="142">
        <v>54.787428471314897</v>
      </c>
      <c r="K89" s="138">
        <v>0</v>
      </c>
      <c r="L89" s="138">
        <v>3.8326296553342551</v>
      </c>
      <c r="M89" s="138">
        <v>0</v>
      </c>
      <c r="N89" s="138">
        <v>0</v>
      </c>
      <c r="O89" s="138">
        <v>0</v>
      </c>
      <c r="P89" s="138">
        <v>0</v>
      </c>
      <c r="Q89" s="133"/>
      <c r="R89" s="142">
        <v>54.787428471314897</v>
      </c>
      <c r="S89" s="138">
        <v>0</v>
      </c>
      <c r="T89" s="138">
        <v>3.8326296553342551</v>
      </c>
      <c r="U89" s="138">
        <v>0</v>
      </c>
      <c r="V89" s="138">
        <v>0</v>
      </c>
      <c r="W89" s="138">
        <v>0</v>
      </c>
      <c r="X89" s="138">
        <v>0</v>
      </c>
      <c r="Y89" s="133"/>
      <c r="Z89" s="142">
        <v>54.787428471314897</v>
      </c>
      <c r="AA89" s="138">
        <v>0</v>
      </c>
      <c r="AB89" s="138">
        <v>3.8326296553342551</v>
      </c>
      <c r="AC89" s="138">
        <v>0</v>
      </c>
      <c r="AD89" s="138">
        <v>0</v>
      </c>
      <c r="AE89" s="138">
        <v>0</v>
      </c>
      <c r="AF89" s="138">
        <v>0</v>
      </c>
      <c r="AG89" s="133"/>
      <c r="AH89" s="142">
        <v>54.787428471314897</v>
      </c>
      <c r="AI89" s="138">
        <v>0</v>
      </c>
      <c r="AJ89" s="138">
        <v>3.8326296553342551</v>
      </c>
      <c r="AK89" s="138">
        <v>0</v>
      </c>
      <c r="AL89" s="138">
        <v>0</v>
      </c>
      <c r="AM89" s="138">
        <v>0</v>
      </c>
      <c r="AN89" s="138">
        <v>0</v>
      </c>
      <c r="AO89" s="133"/>
      <c r="AP89" s="142">
        <v>54.787428471314897</v>
      </c>
      <c r="AQ89" s="138">
        <v>0</v>
      </c>
      <c r="AR89" s="138">
        <v>3.8326296553342551</v>
      </c>
      <c r="AS89" s="138">
        <v>0</v>
      </c>
      <c r="AT89" s="138">
        <v>0</v>
      </c>
      <c r="AU89" s="138">
        <v>0</v>
      </c>
      <c r="AV89" s="139">
        <v>0</v>
      </c>
    </row>
    <row r="90" spans="1:48" hidden="1" outlineLevel="1" x14ac:dyDescent="0.2">
      <c r="A90" s="132"/>
      <c r="B90" s="142">
        <v>-11.150753416787483</v>
      </c>
      <c r="C90" s="138">
        <v>0</v>
      </c>
      <c r="D90" s="138">
        <v>0</v>
      </c>
      <c r="E90" s="138">
        <v>3.7100864702774721</v>
      </c>
      <c r="F90" s="138">
        <v>-7.5591116146720081</v>
      </c>
      <c r="G90" s="138">
        <v>-5.5572309712828414</v>
      </c>
      <c r="H90" s="138">
        <v>0</v>
      </c>
      <c r="I90" s="133"/>
      <c r="J90" s="142">
        <v>18.350044808106649</v>
      </c>
      <c r="K90" s="138">
        <v>0</v>
      </c>
      <c r="L90" s="138">
        <v>0</v>
      </c>
      <c r="M90" s="138">
        <v>-6.1054397336996891</v>
      </c>
      <c r="N90" s="138">
        <v>12.439521497254393</v>
      </c>
      <c r="O90" s="138">
        <v>9.1451611851190204</v>
      </c>
      <c r="P90" s="138">
        <v>0</v>
      </c>
      <c r="Q90" s="133"/>
      <c r="R90" s="142">
        <v>19.207212065980535</v>
      </c>
      <c r="S90" s="138">
        <v>0</v>
      </c>
      <c r="T90" s="138">
        <v>0</v>
      </c>
      <c r="U90" s="138">
        <v>9.1581596005495349</v>
      </c>
      <c r="V90" s="138">
        <v>-18.659282245881595</v>
      </c>
      <c r="W90" s="138">
        <v>-2.2862902962797547</v>
      </c>
      <c r="X90" s="138">
        <v>0</v>
      </c>
      <c r="Y90" s="133"/>
      <c r="Z90" s="142">
        <v>23.221130394098882</v>
      </c>
      <c r="AA90" s="138">
        <v>0</v>
      </c>
      <c r="AB90" s="138">
        <v>0</v>
      </c>
      <c r="AC90" s="138">
        <v>11.072029481623407</v>
      </c>
      <c r="AD90" s="138">
        <v>-11.279347169268398</v>
      </c>
      <c r="AE90" s="138">
        <v>-2.7640786651545155</v>
      </c>
      <c r="AF90" s="138">
        <v>0</v>
      </c>
      <c r="AG90" s="133"/>
      <c r="AH90" s="142">
        <v>12.562738362935917</v>
      </c>
      <c r="AI90" s="138">
        <v>0</v>
      </c>
      <c r="AJ90" s="138">
        <v>0</v>
      </c>
      <c r="AK90" s="138">
        <v>0</v>
      </c>
      <c r="AL90" s="138">
        <v>0</v>
      </c>
      <c r="AM90" s="138">
        <v>3.07304364965105</v>
      </c>
      <c r="AN90" s="138">
        <v>0</v>
      </c>
      <c r="AO90" s="133"/>
      <c r="AP90" s="142">
        <v>38.37949538758285</v>
      </c>
      <c r="AQ90" s="138">
        <v>0</v>
      </c>
      <c r="AR90" s="138">
        <v>0</v>
      </c>
      <c r="AS90" s="138">
        <v>12.3096460011025</v>
      </c>
      <c r="AT90" s="138">
        <v>0</v>
      </c>
      <c r="AU90" s="138">
        <v>0</v>
      </c>
      <c r="AV90" s="139">
        <v>0</v>
      </c>
    </row>
    <row r="91" spans="1:48" hidden="1" outlineLevel="1" x14ac:dyDescent="0.2">
      <c r="A91" s="132"/>
      <c r="B91" s="142">
        <v>0</v>
      </c>
      <c r="C91" s="138">
        <v>0</v>
      </c>
      <c r="D91" s="138">
        <v>0</v>
      </c>
      <c r="E91" s="138">
        <v>0</v>
      </c>
      <c r="F91" s="138">
        <v>11.279347169268398</v>
      </c>
      <c r="G91" s="138">
        <v>0</v>
      </c>
      <c r="H91" s="138">
        <v>0</v>
      </c>
      <c r="I91" s="133"/>
      <c r="J91" s="142">
        <v>0.65155888111532789</v>
      </c>
      <c r="K91" s="138">
        <v>0</v>
      </c>
      <c r="L91" s="138">
        <v>0</v>
      </c>
      <c r="M91" s="138">
        <v>11.602325698585298</v>
      </c>
      <c r="N91" s="138">
        <v>-23.639145784875584</v>
      </c>
      <c r="O91" s="138">
        <v>-8.689393660717954</v>
      </c>
      <c r="P91" s="138">
        <v>0</v>
      </c>
      <c r="Q91" s="133"/>
      <c r="R91" s="142">
        <v>-0.3456401493875525</v>
      </c>
      <c r="S91" s="138">
        <v>0</v>
      </c>
      <c r="T91" s="138">
        <v>0</v>
      </c>
      <c r="U91" s="138">
        <v>-6.1548230005512501</v>
      </c>
      <c r="V91" s="138">
        <v>12.540137380204467</v>
      </c>
      <c r="W91" s="138">
        <v>4.6095654744765744</v>
      </c>
      <c r="X91" s="138">
        <v>0</v>
      </c>
      <c r="Y91" s="133"/>
      <c r="Z91" s="142">
        <v>12.562738362935917</v>
      </c>
      <c r="AA91" s="138">
        <v>0</v>
      </c>
      <c r="AB91" s="138">
        <v>0</v>
      </c>
      <c r="AC91" s="138">
        <v>0</v>
      </c>
      <c r="AD91" s="138">
        <v>0</v>
      </c>
      <c r="AE91" s="138">
        <v>3.07304364965105</v>
      </c>
      <c r="AF91" s="138">
        <v>0</v>
      </c>
      <c r="AG91" s="133"/>
      <c r="AH91" s="142">
        <v>11.692629141103176</v>
      </c>
      <c r="AI91" s="138">
        <v>0</v>
      </c>
      <c r="AJ91" s="138">
        <v>0</v>
      </c>
      <c r="AK91" s="138">
        <v>5.5751435167377954</v>
      </c>
      <c r="AL91" s="138">
        <v>0</v>
      </c>
      <c r="AM91" s="138">
        <v>-1.3918076424350334</v>
      </c>
      <c r="AN91" s="138">
        <v>0</v>
      </c>
      <c r="AO91" s="133"/>
      <c r="AP91" s="142">
        <v>-10.624415236928071</v>
      </c>
      <c r="AQ91" s="138">
        <v>0</v>
      </c>
      <c r="AR91" s="138">
        <v>0</v>
      </c>
      <c r="AS91" s="138">
        <v>-5.0658101794290973</v>
      </c>
      <c r="AT91" s="138">
        <v>0</v>
      </c>
      <c r="AU91" s="138">
        <v>1.2646550356393638</v>
      </c>
      <c r="AV91" s="139">
        <v>0</v>
      </c>
    </row>
    <row r="92" spans="1:48" hidden="1" outlineLevel="1" x14ac:dyDescent="0.2">
      <c r="A92" s="132"/>
      <c r="B92" s="142">
        <v>35.522625623801105</v>
      </c>
      <c r="C92" s="138">
        <v>0</v>
      </c>
      <c r="D92" s="138">
        <v>0</v>
      </c>
      <c r="E92" s="138">
        <v>0</v>
      </c>
      <c r="F92" s="138">
        <v>0</v>
      </c>
      <c r="G92" s="138">
        <v>8.6893936607179576</v>
      </c>
      <c r="H92" s="138">
        <v>0</v>
      </c>
      <c r="I92" s="133"/>
      <c r="J92" s="142">
        <v>0</v>
      </c>
      <c r="K92" s="138">
        <v>0</v>
      </c>
      <c r="L92" s="138">
        <v>0</v>
      </c>
      <c r="M92" s="138">
        <v>0</v>
      </c>
      <c r="N92" s="138">
        <v>11.279347169268398</v>
      </c>
      <c r="O92" s="138">
        <v>0</v>
      </c>
      <c r="P92" s="138">
        <v>0</v>
      </c>
      <c r="Q92" s="133"/>
      <c r="R92" s="142">
        <v>0</v>
      </c>
      <c r="S92" s="138">
        <v>0</v>
      </c>
      <c r="T92" s="138">
        <v>0</v>
      </c>
      <c r="U92" s="138">
        <v>0</v>
      </c>
      <c r="V92" s="138">
        <v>11.279347169268398</v>
      </c>
      <c r="W92" s="138">
        <v>0</v>
      </c>
      <c r="X92" s="138">
        <v>0</v>
      </c>
      <c r="Y92" s="133"/>
      <c r="Z92" s="142">
        <v>-11.692629141103176</v>
      </c>
      <c r="AA92" s="138">
        <v>0</v>
      </c>
      <c r="AB92" s="138">
        <v>0</v>
      </c>
      <c r="AC92" s="138">
        <v>-5.5751435167377954</v>
      </c>
      <c r="AD92" s="138">
        <v>11.359070050915603</v>
      </c>
      <c r="AE92" s="138">
        <v>1.3918076424350334</v>
      </c>
      <c r="AF92" s="138">
        <v>0</v>
      </c>
      <c r="AG92" s="133"/>
      <c r="AH92" s="142">
        <v>-2.0587299996729378</v>
      </c>
      <c r="AI92" s="138">
        <v>0</v>
      </c>
      <c r="AJ92" s="138">
        <v>0</v>
      </c>
      <c r="AK92" s="138">
        <v>-0.98161970861134162</v>
      </c>
      <c r="AL92" s="138">
        <v>1</v>
      </c>
      <c r="AM92" s="138">
        <v>0.24505661752175673</v>
      </c>
      <c r="AN92" s="138">
        <v>0</v>
      </c>
      <c r="AO92" s="133"/>
      <c r="AP92" s="142">
        <v>0</v>
      </c>
      <c r="AQ92" s="138">
        <v>0</v>
      </c>
      <c r="AR92" s="138">
        <v>0</v>
      </c>
      <c r="AS92" s="138">
        <v>0</v>
      </c>
      <c r="AT92" s="138">
        <v>1</v>
      </c>
      <c r="AU92" s="138">
        <v>0</v>
      </c>
      <c r="AV92" s="139">
        <v>0</v>
      </c>
    </row>
    <row r="93" spans="1:48" hidden="1" outlineLevel="1" x14ac:dyDescent="0.2">
      <c r="A93" s="132"/>
      <c r="B93" s="143">
        <f>SUM(B87:B92)</f>
        <v>96.606236432722284</v>
      </c>
      <c r="C93" s="133"/>
      <c r="D93" s="133"/>
      <c r="E93" s="133"/>
      <c r="F93" s="133"/>
      <c r="G93" s="133"/>
      <c r="H93" s="133"/>
      <c r="I93" s="133"/>
      <c r="J93" s="143">
        <f>SUM(J87:J92)</f>
        <v>96.606236432722284</v>
      </c>
      <c r="K93" s="133"/>
      <c r="L93" s="133"/>
      <c r="M93" s="133"/>
      <c r="N93" s="133"/>
      <c r="O93" s="133"/>
      <c r="P93" s="133"/>
      <c r="Q93" s="133"/>
      <c r="R93" s="143">
        <f>SUM(R87:R92)</f>
        <v>96.606236432722284</v>
      </c>
      <c r="S93" s="133"/>
      <c r="T93" s="133"/>
      <c r="U93" s="133"/>
      <c r="V93" s="133"/>
      <c r="W93" s="133"/>
      <c r="X93" s="133"/>
      <c r="Y93" s="133"/>
      <c r="Z93" s="143">
        <f>SUM(Z87:Z92)</f>
        <v>96.606236432722284</v>
      </c>
      <c r="AA93" s="133"/>
      <c r="AB93" s="133"/>
      <c r="AC93" s="133"/>
      <c r="AD93" s="133"/>
      <c r="AE93" s="133"/>
      <c r="AF93" s="133"/>
      <c r="AG93" s="133"/>
      <c r="AH93" s="143">
        <f>SUM(AH87:AH92)</f>
        <v>96.606236432722298</v>
      </c>
      <c r="AI93" s="133"/>
      <c r="AJ93" s="133"/>
      <c r="AK93" s="133"/>
      <c r="AL93" s="133"/>
      <c r="AM93" s="133"/>
      <c r="AN93" s="133"/>
      <c r="AO93" s="133"/>
      <c r="AP93" s="143">
        <f>SUM(AP87:AP92)</f>
        <v>96.606236432722284</v>
      </c>
      <c r="AQ93" s="133"/>
      <c r="AR93" s="133"/>
      <c r="AS93" s="133"/>
      <c r="AT93" s="133"/>
      <c r="AU93" s="133"/>
      <c r="AV93" s="134"/>
    </row>
    <row r="94" spans="1:48" hidden="1" outlineLevel="1" x14ac:dyDescent="0.2">
      <c r="A94" s="132"/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3"/>
      <c r="AV94" s="134"/>
    </row>
    <row r="95" spans="1:48" hidden="1" outlineLevel="1" x14ac:dyDescent="0.2">
      <c r="A95" s="132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  <c r="AP95" s="133"/>
      <c r="AQ95" s="133"/>
      <c r="AR95" s="133"/>
      <c r="AS95" s="133"/>
      <c r="AT95" s="133"/>
      <c r="AU95" s="133"/>
      <c r="AV95" s="134"/>
    </row>
    <row r="96" spans="1:48" hidden="1" outlineLevel="1" x14ac:dyDescent="0.2">
      <c r="A96" s="135" t="s">
        <v>60</v>
      </c>
      <c r="B96" s="136">
        <v>21</v>
      </c>
      <c r="C96" s="136" t="s">
        <v>59</v>
      </c>
      <c r="D96" s="136" t="str">
        <f>$C$202</f>
        <v>portlandite</v>
      </c>
      <c r="E96" s="136" t="str">
        <f>$E$202</f>
        <v>C1.75A0.05SH4.3</v>
      </c>
      <c r="F96" s="136" t="str">
        <f>$M$202</f>
        <v>Hydrogarnet</v>
      </c>
      <c r="G96" s="136" t="str">
        <f>$O$202</f>
        <v>Hemicarbonate</v>
      </c>
      <c r="H96" s="136" t="str">
        <f>$Q$202</f>
        <v>Hemisulphate</v>
      </c>
      <c r="I96" s="133"/>
      <c r="J96" s="136">
        <v>22</v>
      </c>
      <c r="K96" s="136" t="s">
        <v>59</v>
      </c>
      <c r="L96" s="136" t="str">
        <f>$C$202</f>
        <v>portlandite</v>
      </c>
      <c r="M96" s="136" t="str">
        <f>$E$202</f>
        <v>C1.75A0.05SH4.3</v>
      </c>
      <c r="N96" s="136" t="str">
        <f>$R$202</f>
        <v>monosulphate</v>
      </c>
      <c r="O96" s="136" t="str">
        <f>$Q$202</f>
        <v>Hemisulphate</v>
      </c>
      <c r="P96" s="136" t="str">
        <f>$O$202</f>
        <v>Hemicarbonate</v>
      </c>
      <c r="Q96" s="133"/>
      <c r="R96" s="136">
        <v>23</v>
      </c>
      <c r="S96" s="136" t="s">
        <v>59</v>
      </c>
      <c r="T96" s="136" t="str">
        <f>$C$202</f>
        <v>portlandite</v>
      </c>
      <c r="U96" s="136" t="str">
        <f>$E$202</f>
        <v>C1.75A0.05SH4.3</v>
      </c>
      <c r="V96" s="136" t="str">
        <f>$R$202</f>
        <v>monosulphate</v>
      </c>
      <c r="W96" s="136" t="str">
        <f>$S$202</f>
        <v>ettringite</v>
      </c>
      <c r="X96" s="136" t="str">
        <f>$O$202</f>
        <v>Hemicarbonate</v>
      </c>
      <c r="Y96" s="133"/>
      <c r="Z96" s="136">
        <v>24</v>
      </c>
      <c r="AA96" s="136" t="s">
        <v>59</v>
      </c>
      <c r="AB96" s="136" t="str">
        <f>$C$202</f>
        <v>portlandite</v>
      </c>
      <c r="AC96" s="136" t="str">
        <f>$E$202</f>
        <v>C1.75A0.05SH4.3</v>
      </c>
      <c r="AD96" s="136" t="str">
        <f>$O$202</f>
        <v>Hemicarbonate</v>
      </c>
      <c r="AE96" s="136" t="str">
        <f>$S$202</f>
        <v>ettringite</v>
      </c>
      <c r="AF96" s="136" t="str">
        <f>$P$202</f>
        <v>monocarbonate</v>
      </c>
      <c r="AG96" s="133"/>
      <c r="AH96" s="136">
        <v>25</v>
      </c>
      <c r="AI96" s="136" t="s">
        <v>59</v>
      </c>
      <c r="AJ96" s="136" t="str">
        <f>$C$202</f>
        <v>portlandite</v>
      </c>
      <c r="AK96" s="136" t="str">
        <f>$E$202</f>
        <v>C1.75A0.05SH4.3</v>
      </c>
      <c r="AL96" s="136" t="str">
        <f>$S$202</f>
        <v>ettringite</v>
      </c>
      <c r="AM96" s="136" t="str">
        <f>$P$202</f>
        <v>monocarbonate</v>
      </c>
      <c r="AN96" s="136" t="str">
        <f>$U$202</f>
        <v>calcite</v>
      </c>
      <c r="AO96" s="133"/>
      <c r="AP96" s="136">
        <v>26</v>
      </c>
      <c r="AQ96" s="136" t="s">
        <v>59</v>
      </c>
      <c r="AR96" s="136" t="str">
        <f>$C$202</f>
        <v>portlandite</v>
      </c>
      <c r="AS96" s="136" t="str">
        <f>$E$202</f>
        <v>C1.75A0.05SH4.3</v>
      </c>
      <c r="AT96" s="136" t="str">
        <f>$S$202</f>
        <v>ettringite</v>
      </c>
      <c r="AU96" s="136" t="str">
        <f>$T$202</f>
        <v>gypsum</v>
      </c>
      <c r="AV96" s="137" t="str">
        <f>$U$202</f>
        <v>calcite</v>
      </c>
    </row>
    <row r="97" spans="1:48" hidden="1" outlineLevel="1" x14ac:dyDescent="0.2">
      <c r="A97" s="132"/>
      <c r="B97" s="133"/>
      <c r="C97" s="138">
        <v>0</v>
      </c>
      <c r="D97" s="138">
        <f>$C$203</f>
        <v>0.75685479321304083</v>
      </c>
      <c r="E97" s="138">
        <f>$E$203</f>
        <v>0.41692537379616368</v>
      </c>
      <c r="F97" s="138">
        <f>$M$203</f>
        <v>0.44472323706657291</v>
      </c>
      <c r="G97" s="138">
        <f>$O$203</f>
        <v>0.34771498375494458</v>
      </c>
      <c r="H97" s="138">
        <f>$Q$203</f>
        <v>0.33182231315971239</v>
      </c>
      <c r="I97" s="133"/>
      <c r="J97" s="133"/>
      <c r="K97" s="138">
        <v>0</v>
      </c>
      <c r="L97" s="138">
        <f>$C$203</f>
        <v>0.75685479321304083</v>
      </c>
      <c r="M97" s="138">
        <f>$E$203</f>
        <v>0.41692537379616368</v>
      </c>
      <c r="N97" s="138">
        <f>$R$203</f>
        <v>0.27024452567298896</v>
      </c>
      <c r="O97" s="138">
        <f>$Q$203</f>
        <v>0.33182231315971239</v>
      </c>
      <c r="P97" s="138">
        <f>$O$203</f>
        <v>0.34771498375494458</v>
      </c>
      <c r="Q97" s="133"/>
      <c r="R97" s="133"/>
      <c r="S97" s="138">
        <v>0</v>
      </c>
      <c r="T97" s="138">
        <f>$C$203</f>
        <v>0.75685479321304083</v>
      </c>
      <c r="U97" s="138">
        <f>$E$203</f>
        <v>0.41692537379616368</v>
      </c>
      <c r="V97" s="138">
        <f>$R$203</f>
        <v>0.27024452567298896</v>
      </c>
      <c r="W97" s="138">
        <f>$S$203</f>
        <v>0.13403810838353239</v>
      </c>
      <c r="X97" s="138">
        <f>$O$203</f>
        <v>0.34771498375494458</v>
      </c>
      <c r="Y97" s="133"/>
      <c r="Z97" s="133"/>
      <c r="AA97" s="138">
        <v>0</v>
      </c>
      <c r="AB97" s="138">
        <f>$C$203</f>
        <v>0.75685479321304083</v>
      </c>
      <c r="AC97" s="138">
        <f>$E$203</f>
        <v>0.41692537379616368</v>
      </c>
      <c r="AD97" s="138">
        <f>$O$203</f>
        <v>0.34771498375494458</v>
      </c>
      <c r="AE97" s="138">
        <f>$S$203</f>
        <v>0.13403810838353239</v>
      </c>
      <c r="AF97" s="138">
        <f>$P$203</f>
        <v>0.29594963069652797</v>
      </c>
      <c r="AG97" s="133"/>
      <c r="AH97" s="133"/>
      <c r="AI97" s="138">
        <v>0</v>
      </c>
      <c r="AJ97" s="138">
        <f>$C$203</f>
        <v>0.75685479321304083</v>
      </c>
      <c r="AK97" s="138">
        <f>$E$203</f>
        <v>0.41692537379616368</v>
      </c>
      <c r="AL97" s="138">
        <f>$S$203</f>
        <v>0.13403810838353239</v>
      </c>
      <c r="AM97" s="138">
        <f>$P$203</f>
        <v>0.29594963069652797</v>
      </c>
      <c r="AN97" s="138">
        <f>$U$203</f>
        <v>0</v>
      </c>
      <c r="AO97" s="133"/>
      <c r="AP97" s="133"/>
      <c r="AQ97" s="138">
        <v>0</v>
      </c>
      <c r="AR97" s="138">
        <f>$C$203</f>
        <v>0.75685479321304083</v>
      </c>
      <c r="AS97" s="138">
        <f>$E$203</f>
        <v>0.41692537379616368</v>
      </c>
      <c r="AT97" s="138">
        <f>$S$203</f>
        <v>0.13403810838353239</v>
      </c>
      <c r="AU97" s="138">
        <f>$T$203</f>
        <v>0</v>
      </c>
      <c r="AV97" s="139">
        <f>$U$203</f>
        <v>0</v>
      </c>
    </row>
    <row r="98" spans="1:48" hidden="1" outlineLevel="1" x14ac:dyDescent="0.2">
      <c r="A98" s="132"/>
      <c r="B98" s="133"/>
      <c r="C98" s="138">
        <v>0</v>
      </c>
      <c r="D98" s="138">
        <f>$C$204</f>
        <v>0</v>
      </c>
      <c r="E98" s="138">
        <f>$E$204</f>
        <v>0.25526625940759262</v>
      </c>
      <c r="F98" s="138">
        <f>$M$204</f>
        <v>0</v>
      </c>
      <c r="G98" s="138">
        <f>$O$204</f>
        <v>0</v>
      </c>
      <c r="H98" s="138">
        <f>$Q$204</f>
        <v>0</v>
      </c>
      <c r="I98" s="133"/>
      <c r="J98" s="133"/>
      <c r="K98" s="138">
        <v>0</v>
      </c>
      <c r="L98" s="138">
        <f>$C$204</f>
        <v>0</v>
      </c>
      <c r="M98" s="138">
        <f>$E$204</f>
        <v>0.25526625940759262</v>
      </c>
      <c r="N98" s="138">
        <f>$R$204</f>
        <v>0</v>
      </c>
      <c r="O98" s="138">
        <f>$Q$204</f>
        <v>0</v>
      </c>
      <c r="P98" s="138">
        <f>$O$204</f>
        <v>0</v>
      </c>
      <c r="Q98" s="133"/>
      <c r="R98" s="133"/>
      <c r="S98" s="138">
        <v>0</v>
      </c>
      <c r="T98" s="138">
        <f>$C$204</f>
        <v>0</v>
      </c>
      <c r="U98" s="138">
        <f>$E$204</f>
        <v>0.25526625940759262</v>
      </c>
      <c r="V98" s="138">
        <f>$R$204</f>
        <v>0</v>
      </c>
      <c r="W98" s="138">
        <f>$S$204</f>
        <v>0</v>
      </c>
      <c r="X98" s="138">
        <f>$O$204</f>
        <v>0</v>
      </c>
      <c r="Y98" s="133"/>
      <c r="Z98" s="133"/>
      <c r="AA98" s="138">
        <v>0</v>
      </c>
      <c r="AB98" s="138">
        <f>$C$204</f>
        <v>0</v>
      </c>
      <c r="AC98" s="138">
        <f>$E$204</f>
        <v>0.25526625940759262</v>
      </c>
      <c r="AD98" s="138">
        <f>$O$204</f>
        <v>0</v>
      </c>
      <c r="AE98" s="138">
        <f>$S$204</f>
        <v>0</v>
      </c>
      <c r="AF98" s="138">
        <f>$P$204</f>
        <v>0</v>
      </c>
      <c r="AG98" s="133"/>
      <c r="AH98" s="133"/>
      <c r="AI98" s="138">
        <v>0</v>
      </c>
      <c r="AJ98" s="138">
        <f>$C$204</f>
        <v>0</v>
      </c>
      <c r="AK98" s="138">
        <f>$E$204</f>
        <v>0.25526625940759262</v>
      </c>
      <c r="AL98" s="138">
        <f>$S$204</f>
        <v>0</v>
      </c>
      <c r="AM98" s="138">
        <f>$P$204</f>
        <v>0</v>
      </c>
      <c r="AN98" s="138">
        <f>$U$204</f>
        <v>0</v>
      </c>
      <c r="AO98" s="133"/>
      <c r="AP98" s="133"/>
      <c r="AQ98" s="138">
        <v>0</v>
      </c>
      <c r="AR98" s="138">
        <f>$C$204</f>
        <v>0</v>
      </c>
      <c r="AS98" s="138">
        <f>$E$204</f>
        <v>0.25526625940759262</v>
      </c>
      <c r="AT98" s="138">
        <f>$S$204</f>
        <v>0</v>
      </c>
      <c r="AU98" s="138">
        <f>$T$204</f>
        <v>0</v>
      </c>
      <c r="AV98" s="139">
        <f>$U$204</f>
        <v>0</v>
      </c>
    </row>
    <row r="99" spans="1:48" hidden="1" outlineLevel="1" x14ac:dyDescent="0.2">
      <c r="A99" s="132"/>
      <c r="B99" s="133"/>
      <c r="C99" s="138">
        <v>0</v>
      </c>
      <c r="D99" s="138">
        <f>$C$205</f>
        <v>0</v>
      </c>
      <c r="E99" s="138">
        <f>$E$205</f>
        <v>2.1658964188213614E-2</v>
      </c>
      <c r="F99" s="138">
        <f>$M$205</f>
        <v>0.26953549681692768</v>
      </c>
      <c r="G99" s="138">
        <f>$O$205</f>
        <v>0.18063535716911364</v>
      </c>
      <c r="H99" s="138">
        <f>$Q$205</f>
        <v>0.17237923257436782</v>
      </c>
      <c r="I99" s="133"/>
      <c r="J99" s="133"/>
      <c r="K99" s="138">
        <v>0</v>
      </c>
      <c r="L99" s="138">
        <f>$C$205</f>
        <v>0</v>
      </c>
      <c r="M99" s="138">
        <f>$E$205</f>
        <v>2.1658964188213614E-2</v>
      </c>
      <c r="N99" s="138">
        <f>$R$205</f>
        <v>0.16378836637767183</v>
      </c>
      <c r="O99" s="138">
        <f>$Q$205</f>
        <v>0.17237923257436782</v>
      </c>
      <c r="P99" s="138">
        <f>$O$205</f>
        <v>0.18063535716911364</v>
      </c>
      <c r="Q99" s="133"/>
      <c r="R99" s="133"/>
      <c r="S99" s="138">
        <v>0</v>
      </c>
      <c r="T99" s="138">
        <f>$C$205</f>
        <v>0</v>
      </c>
      <c r="U99" s="138">
        <f>$E$205</f>
        <v>2.1658964188213614E-2</v>
      </c>
      <c r="V99" s="138">
        <f>$R$205</f>
        <v>0.16378836637767183</v>
      </c>
      <c r="W99" s="138">
        <f>$S$205</f>
        <v>8.1237104617828668E-2</v>
      </c>
      <c r="X99" s="138">
        <f>$O$205</f>
        <v>0.18063535716911364</v>
      </c>
      <c r="Y99" s="133"/>
      <c r="Z99" s="133"/>
      <c r="AA99" s="138">
        <v>0</v>
      </c>
      <c r="AB99" s="138">
        <f>$C$205</f>
        <v>0</v>
      </c>
      <c r="AC99" s="138">
        <f>$E$205</f>
        <v>2.1658964188213614E-2</v>
      </c>
      <c r="AD99" s="138">
        <f>$O$205</f>
        <v>0.18063535716911364</v>
      </c>
      <c r="AE99" s="138">
        <f>$S$205</f>
        <v>8.1237104617828668E-2</v>
      </c>
      <c r="AF99" s="138">
        <f>$P$205</f>
        <v>0.17936757986548366</v>
      </c>
      <c r="AG99" s="133"/>
      <c r="AH99" s="133"/>
      <c r="AI99" s="138">
        <v>0</v>
      </c>
      <c r="AJ99" s="138">
        <f>$C$205</f>
        <v>0</v>
      </c>
      <c r="AK99" s="138">
        <f>$E$205</f>
        <v>2.1658964188213614E-2</v>
      </c>
      <c r="AL99" s="138">
        <f>$S$205</f>
        <v>8.1237104617828668E-2</v>
      </c>
      <c r="AM99" s="138">
        <f>$P$205</f>
        <v>0.17936757986548366</v>
      </c>
      <c r="AN99" s="138">
        <f>$U$205</f>
        <v>0</v>
      </c>
      <c r="AO99" s="133"/>
      <c r="AP99" s="133"/>
      <c r="AQ99" s="138">
        <v>0</v>
      </c>
      <c r="AR99" s="138">
        <f>$C$205</f>
        <v>0</v>
      </c>
      <c r="AS99" s="138">
        <f>$E$205</f>
        <v>2.1658964188213614E-2</v>
      </c>
      <c r="AT99" s="138">
        <f>$S$205</f>
        <v>8.1237104617828668E-2</v>
      </c>
      <c r="AU99" s="138">
        <f>$T$205</f>
        <v>0</v>
      </c>
      <c r="AV99" s="139">
        <f>$U$205</f>
        <v>0</v>
      </c>
    </row>
    <row r="100" spans="1:48" hidden="1" outlineLevel="1" x14ac:dyDescent="0.2">
      <c r="A100" s="132"/>
      <c r="B100" s="133"/>
      <c r="C100" s="138">
        <v>0</v>
      </c>
      <c r="D100" s="138">
        <f>$C$206</f>
        <v>0</v>
      </c>
      <c r="E100" s="138">
        <f>$E$206</f>
        <v>0</v>
      </c>
      <c r="F100" s="138">
        <f>$M$206</f>
        <v>0</v>
      </c>
      <c r="G100" s="138">
        <f>$O$206</f>
        <v>8.8657613334625476E-2</v>
      </c>
      <c r="H100" s="138">
        <f>$Q$206</f>
        <v>0</v>
      </c>
      <c r="I100" s="133"/>
      <c r="J100" s="133"/>
      <c r="K100" s="138">
        <v>0</v>
      </c>
      <c r="L100" s="138">
        <f>$C$206</f>
        <v>0</v>
      </c>
      <c r="M100" s="138">
        <f>$E$206</f>
        <v>0</v>
      </c>
      <c r="N100" s="138">
        <f>$R$206</f>
        <v>0</v>
      </c>
      <c r="O100" s="138">
        <f>$Q$206</f>
        <v>0</v>
      </c>
      <c r="P100" s="138">
        <f>$O$206</f>
        <v>8.8657613334625476E-2</v>
      </c>
      <c r="Q100" s="133"/>
      <c r="R100" s="133"/>
      <c r="S100" s="138">
        <v>0</v>
      </c>
      <c r="T100" s="138">
        <f>$C$206</f>
        <v>0</v>
      </c>
      <c r="U100" s="138">
        <f>$E$206</f>
        <v>0</v>
      </c>
      <c r="V100" s="138">
        <f>$R$206</f>
        <v>0</v>
      </c>
      <c r="W100" s="138">
        <f>$S$206</f>
        <v>0</v>
      </c>
      <c r="X100" s="138">
        <f>$O$206</f>
        <v>8.8657613334625476E-2</v>
      </c>
      <c r="Y100" s="133"/>
      <c r="Z100" s="133"/>
      <c r="AA100" s="138">
        <v>0</v>
      </c>
      <c r="AB100" s="138">
        <f>$C$206</f>
        <v>0</v>
      </c>
      <c r="AC100" s="138">
        <f>$E$206</f>
        <v>0</v>
      </c>
      <c r="AD100" s="138">
        <f>$O$206</f>
        <v>8.8657613334625476E-2</v>
      </c>
      <c r="AE100" s="138">
        <f>$S$206</f>
        <v>0</v>
      </c>
      <c r="AF100" s="138">
        <f>$P$206</f>
        <v>0.17607075148187762</v>
      </c>
      <c r="AG100" s="133"/>
      <c r="AH100" s="133"/>
      <c r="AI100" s="138">
        <v>0</v>
      </c>
      <c r="AJ100" s="138">
        <f>$C$206</f>
        <v>0</v>
      </c>
      <c r="AK100" s="138">
        <f>$E$206</f>
        <v>0</v>
      </c>
      <c r="AL100" s="138">
        <f>$S$206</f>
        <v>0</v>
      </c>
      <c r="AM100" s="138">
        <f>$P$206</f>
        <v>0.17607075148187762</v>
      </c>
      <c r="AN100" s="138">
        <f>$U$206</f>
        <v>1</v>
      </c>
      <c r="AO100" s="133"/>
      <c r="AP100" s="133"/>
      <c r="AQ100" s="138">
        <v>0</v>
      </c>
      <c r="AR100" s="138">
        <f>$C$206</f>
        <v>0</v>
      </c>
      <c r="AS100" s="138">
        <f>$E$206</f>
        <v>0</v>
      </c>
      <c r="AT100" s="138">
        <f>$S$206</f>
        <v>0</v>
      </c>
      <c r="AU100" s="138">
        <f>$T$206</f>
        <v>0</v>
      </c>
      <c r="AV100" s="139">
        <f>$U$206</f>
        <v>1</v>
      </c>
    </row>
    <row r="101" spans="1:48" hidden="1" outlineLevel="1" x14ac:dyDescent="0.2">
      <c r="A101" s="132"/>
      <c r="B101" s="133"/>
      <c r="C101" s="138">
        <v>0</v>
      </c>
      <c r="D101" s="138">
        <f>$C$207</f>
        <v>0</v>
      </c>
      <c r="E101" s="138">
        <f>$E$207</f>
        <v>0</v>
      </c>
      <c r="F101" s="138">
        <f>$M$207</f>
        <v>0</v>
      </c>
      <c r="G101" s="138">
        <f>$O$207</f>
        <v>0</v>
      </c>
      <c r="H101" s="138">
        <f>$Q$207</f>
        <v>0.1150828284510447</v>
      </c>
      <c r="I101" s="133"/>
      <c r="J101" s="133"/>
      <c r="K101" s="138">
        <v>0</v>
      </c>
      <c r="L101" s="138">
        <f>$C$207</f>
        <v>0</v>
      </c>
      <c r="M101" s="138">
        <f>$E$207</f>
        <v>0</v>
      </c>
      <c r="N101" s="138">
        <f>$R$207</f>
        <v>0.21869488787736116</v>
      </c>
      <c r="O101" s="138">
        <f>$Q$207</f>
        <v>0.1150828284510447</v>
      </c>
      <c r="P101" s="138">
        <f>$O$207</f>
        <v>0</v>
      </c>
      <c r="Q101" s="133"/>
      <c r="R101" s="133"/>
      <c r="S101" s="138">
        <v>0</v>
      </c>
      <c r="T101" s="138">
        <f>$C$207</f>
        <v>0</v>
      </c>
      <c r="U101" s="138">
        <f>$E$207</f>
        <v>0</v>
      </c>
      <c r="V101" s="138">
        <f>$R$207</f>
        <v>0.21869488787736116</v>
      </c>
      <c r="W101" s="138">
        <f>$S$207</f>
        <v>0.32541028179458237</v>
      </c>
      <c r="X101" s="138">
        <f>$O$207</f>
        <v>0</v>
      </c>
      <c r="Y101" s="133"/>
      <c r="Z101" s="133"/>
      <c r="AA101" s="138">
        <v>0</v>
      </c>
      <c r="AB101" s="138">
        <f>$C$207</f>
        <v>0</v>
      </c>
      <c r="AC101" s="138">
        <f>$E$207</f>
        <v>0</v>
      </c>
      <c r="AD101" s="138">
        <f>$O$207</f>
        <v>0</v>
      </c>
      <c r="AE101" s="138">
        <f>$S$207</f>
        <v>0.32541028179458237</v>
      </c>
      <c r="AF101" s="138">
        <f>$P$207</f>
        <v>0</v>
      </c>
      <c r="AG101" s="133"/>
      <c r="AH101" s="133"/>
      <c r="AI101" s="138">
        <v>0</v>
      </c>
      <c r="AJ101" s="138">
        <f>$C$207</f>
        <v>0</v>
      </c>
      <c r="AK101" s="138">
        <f>$E$207</f>
        <v>0</v>
      </c>
      <c r="AL101" s="138">
        <f>$S$207</f>
        <v>0.32541028179458237</v>
      </c>
      <c r="AM101" s="138">
        <f>$P$207</f>
        <v>0</v>
      </c>
      <c r="AN101" s="138">
        <f>$U$207</f>
        <v>0</v>
      </c>
      <c r="AO101" s="133"/>
      <c r="AP101" s="133"/>
      <c r="AQ101" s="138">
        <v>0</v>
      </c>
      <c r="AR101" s="138">
        <f>$C$207</f>
        <v>0</v>
      </c>
      <c r="AS101" s="138">
        <f>$E$207</f>
        <v>0</v>
      </c>
      <c r="AT101" s="138">
        <f>$S$207</f>
        <v>0.32541028179458237</v>
      </c>
      <c r="AU101" s="138">
        <f>$T$207</f>
        <v>0.79072946520505982</v>
      </c>
      <c r="AV101" s="139">
        <f>$U$207</f>
        <v>0</v>
      </c>
    </row>
    <row r="102" spans="1:48" hidden="1" outlineLevel="1" x14ac:dyDescent="0.2">
      <c r="A102" s="132"/>
      <c r="B102" s="133"/>
      <c r="C102" s="138">
        <v>1</v>
      </c>
      <c r="D102" s="138">
        <f>$C$208</f>
        <v>0.24314520678695925</v>
      </c>
      <c r="E102" s="138">
        <f>$E$208</f>
        <v>0.30614940260803009</v>
      </c>
      <c r="F102" s="138">
        <f>$M$208</f>
        <v>0.2857412661164993</v>
      </c>
      <c r="G102" s="138">
        <f>$O$208</f>
        <v>0.3829920457413164</v>
      </c>
      <c r="H102" s="138">
        <f>$Q$208</f>
        <v>0.38071562581487517</v>
      </c>
      <c r="I102" s="133"/>
      <c r="J102" s="133"/>
      <c r="K102" s="138">
        <v>1</v>
      </c>
      <c r="L102" s="138">
        <f>$C$208</f>
        <v>0.24314520678695925</v>
      </c>
      <c r="M102" s="138">
        <f>$E$208</f>
        <v>0.30614940260803009</v>
      </c>
      <c r="N102" s="138">
        <f>$R$208</f>
        <v>0.34727222007197794</v>
      </c>
      <c r="O102" s="138">
        <f>$Q$208</f>
        <v>0.38071562581487517</v>
      </c>
      <c r="P102" s="138">
        <f>$O$208</f>
        <v>0.3829920457413164</v>
      </c>
      <c r="Q102" s="133"/>
      <c r="R102" s="133"/>
      <c r="S102" s="138">
        <v>1</v>
      </c>
      <c r="T102" s="138">
        <f>$C$208</f>
        <v>0.24314520678695925</v>
      </c>
      <c r="U102" s="138">
        <f>$E$208</f>
        <v>0.30614940260803009</v>
      </c>
      <c r="V102" s="138">
        <f>$R$208</f>
        <v>0.34727222007197794</v>
      </c>
      <c r="W102" s="138">
        <f>$S$208</f>
        <v>0.45931450520405653</v>
      </c>
      <c r="X102" s="138">
        <f>$O$208</f>
        <v>0.3829920457413164</v>
      </c>
      <c r="Y102" s="133"/>
      <c r="Z102" s="133"/>
      <c r="AA102" s="138">
        <v>1</v>
      </c>
      <c r="AB102" s="138">
        <f>$C$208</f>
        <v>0.24314520678695925</v>
      </c>
      <c r="AC102" s="138">
        <f>$E$208</f>
        <v>0.30614940260803009</v>
      </c>
      <c r="AD102" s="138">
        <f>$O$208</f>
        <v>0.3829920457413164</v>
      </c>
      <c r="AE102" s="138">
        <f>$S$208</f>
        <v>0.45931450520405653</v>
      </c>
      <c r="AF102" s="138">
        <f>$P$208</f>
        <v>0.34861203795611073</v>
      </c>
      <c r="AG102" s="133"/>
      <c r="AH102" s="133"/>
      <c r="AI102" s="138">
        <v>1</v>
      </c>
      <c r="AJ102" s="138">
        <f>$C$208</f>
        <v>0.24314520678695925</v>
      </c>
      <c r="AK102" s="138">
        <f>$E$208</f>
        <v>0.30614940260803009</v>
      </c>
      <c r="AL102" s="138">
        <f>$S$208</f>
        <v>0.45931450520405653</v>
      </c>
      <c r="AM102" s="138">
        <f>$P$208</f>
        <v>0.34861203795611073</v>
      </c>
      <c r="AN102" s="138">
        <f>$U$208</f>
        <v>0</v>
      </c>
      <c r="AO102" s="133"/>
      <c r="AP102" s="133"/>
      <c r="AQ102" s="138">
        <v>1</v>
      </c>
      <c r="AR102" s="138">
        <f>$C$208</f>
        <v>0.24314520678695925</v>
      </c>
      <c r="AS102" s="138">
        <f>$E$208</f>
        <v>0.30614940260803009</v>
      </c>
      <c r="AT102" s="138">
        <f>$S$208</f>
        <v>0.45931450520405653</v>
      </c>
      <c r="AU102" s="138">
        <f>$T$208</f>
        <v>0.20927053479494012</v>
      </c>
      <c r="AV102" s="139">
        <f>$U$208</f>
        <v>0</v>
      </c>
    </row>
    <row r="103" spans="1:48" hidden="1" outlineLevel="1" x14ac:dyDescent="0.2">
      <c r="A103" s="132"/>
      <c r="B103" s="133"/>
      <c r="C103" s="140">
        <f t="shared" ref="C103:H103" si="66">SUM(C97:C102)</f>
        <v>1</v>
      </c>
      <c r="D103" s="140">
        <f t="shared" si="66"/>
        <v>1</v>
      </c>
      <c r="E103" s="140">
        <f t="shared" si="66"/>
        <v>1</v>
      </c>
      <c r="F103" s="140">
        <f t="shared" si="66"/>
        <v>0.99999999999999989</v>
      </c>
      <c r="G103" s="140">
        <f t="shared" si="66"/>
        <v>1</v>
      </c>
      <c r="H103" s="140">
        <f t="shared" si="66"/>
        <v>1</v>
      </c>
      <c r="I103" s="133"/>
      <c r="J103" s="133"/>
      <c r="K103" s="140">
        <f t="shared" ref="K103:P103" si="67">SUM(K97:K102)</f>
        <v>1</v>
      </c>
      <c r="L103" s="140">
        <f t="shared" si="67"/>
        <v>1</v>
      </c>
      <c r="M103" s="140">
        <f t="shared" si="67"/>
        <v>1</v>
      </c>
      <c r="N103" s="140">
        <f t="shared" si="67"/>
        <v>0.99999999999999978</v>
      </c>
      <c r="O103" s="140">
        <f t="shared" si="67"/>
        <v>1</v>
      </c>
      <c r="P103" s="140">
        <f t="shared" si="67"/>
        <v>1</v>
      </c>
      <c r="Q103" s="133"/>
      <c r="R103" s="133"/>
      <c r="S103" s="140">
        <f t="shared" ref="S103:X103" si="68">SUM(S97:S102)</f>
        <v>1</v>
      </c>
      <c r="T103" s="140">
        <f t="shared" si="68"/>
        <v>1</v>
      </c>
      <c r="U103" s="140">
        <f t="shared" si="68"/>
        <v>1</v>
      </c>
      <c r="V103" s="140">
        <f t="shared" si="68"/>
        <v>0.99999999999999978</v>
      </c>
      <c r="W103" s="140">
        <f t="shared" si="68"/>
        <v>1</v>
      </c>
      <c r="X103" s="140">
        <f t="shared" si="68"/>
        <v>1</v>
      </c>
      <c r="Y103" s="133"/>
      <c r="Z103" s="133"/>
      <c r="AA103" s="140">
        <f t="shared" ref="AA103:AF103" si="69">SUM(AA97:AA102)</f>
        <v>1</v>
      </c>
      <c r="AB103" s="140">
        <f t="shared" si="69"/>
        <v>1</v>
      </c>
      <c r="AC103" s="140">
        <f t="shared" si="69"/>
        <v>1</v>
      </c>
      <c r="AD103" s="140">
        <f t="shared" si="69"/>
        <v>1</v>
      </c>
      <c r="AE103" s="140">
        <f t="shared" si="69"/>
        <v>1</v>
      </c>
      <c r="AF103" s="140">
        <f t="shared" si="69"/>
        <v>0.99999999999999989</v>
      </c>
      <c r="AG103" s="133"/>
      <c r="AH103" s="133"/>
      <c r="AI103" s="140">
        <f t="shared" ref="AI103:AN103" si="70">SUM(AI97:AI102)</f>
        <v>1</v>
      </c>
      <c r="AJ103" s="140">
        <f t="shared" si="70"/>
        <v>1</v>
      </c>
      <c r="AK103" s="140">
        <f t="shared" si="70"/>
        <v>1</v>
      </c>
      <c r="AL103" s="140">
        <f t="shared" si="70"/>
        <v>1</v>
      </c>
      <c r="AM103" s="140">
        <f t="shared" si="70"/>
        <v>0.99999999999999989</v>
      </c>
      <c r="AN103" s="140">
        <f t="shared" si="70"/>
        <v>1</v>
      </c>
      <c r="AO103" s="133"/>
      <c r="AP103" s="133"/>
      <c r="AQ103" s="140">
        <f t="shared" ref="AQ103:AV103" si="71">SUM(AQ97:AQ102)</f>
        <v>1</v>
      </c>
      <c r="AR103" s="140">
        <f t="shared" si="71"/>
        <v>1</v>
      </c>
      <c r="AS103" s="140">
        <f t="shared" si="71"/>
        <v>1</v>
      </c>
      <c r="AT103" s="140">
        <f t="shared" si="71"/>
        <v>1</v>
      </c>
      <c r="AU103" s="140">
        <f t="shared" si="71"/>
        <v>1</v>
      </c>
      <c r="AV103" s="141">
        <f t="shared" si="71"/>
        <v>1</v>
      </c>
    </row>
    <row r="104" spans="1:48" hidden="1" outlineLevel="1" x14ac:dyDescent="0.2">
      <c r="A104" s="132"/>
      <c r="B104" s="142">
        <f t="array" ref="B104:B109">MMULT(C104:H109,$V$19:$V$24)</f>
        <v>6.8712825612245503</v>
      </c>
      <c r="C104" s="138">
        <f t="array" ref="C104:H109">MINVERSE(C97:H102)</f>
        <v>-0.32125740494388111</v>
      </c>
      <c r="D104" s="138">
        <v>-0.62965014155112065</v>
      </c>
      <c r="E104" s="138">
        <v>-0.5300624027093892</v>
      </c>
      <c r="F104" s="138">
        <v>-1.9799542798679552</v>
      </c>
      <c r="G104" s="138">
        <v>-1.5879302138361819</v>
      </c>
      <c r="H104" s="138">
        <v>1</v>
      </c>
      <c r="I104" s="133"/>
      <c r="J104" s="142">
        <f t="array" ref="J104:J109">MMULT(K104:P109,$V$19:$V$24)</f>
        <v>11.34334820752261</v>
      </c>
      <c r="K104" s="138">
        <f t="array" ref="K104:P109">MINVERSE(K97:P102)</f>
        <v>-0.32125740494388111</v>
      </c>
      <c r="L104" s="138">
        <v>-0.53970012132953216</v>
      </c>
      <c r="M104" s="138">
        <v>-1.5901872081281683</v>
      </c>
      <c r="N104" s="138">
        <v>0.17999584362435961</v>
      </c>
      <c r="O104" s="138">
        <v>0</v>
      </c>
      <c r="P104" s="138">
        <v>1</v>
      </c>
      <c r="Q104" s="133"/>
      <c r="R104" s="142">
        <f t="array" ref="R104:R109">MMULT(S104:X109,$V$19:$V$24)</f>
        <v>9.299512921673692</v>
      </c>
      <c r="S104" s="138">
        <f t="array" ref="S104:X109">MINVERSE(S97:X102)</f>
        <v>-0.32125740494388111</v>
      </c>
      <c r="T104" s="138">
        <v>-0.68961682169884664</v>
      </c>
      <c r="U104" s="138">
        <v>0.17668746756979781</v>
      </c>
      <c r="V104" s="138">
        <v>-3.4199210288628343</v>
      </c>
      <c r="W104" s="138">
        <v>-1.3232751781968188</v>
      </c>
      <c r="X104" s="138">
        <v>1</v>
      </c>
      <c r="Y104" s="133"/>
      <c r="Z104" s="142">
        <f t="array" ref="Z104:Z109">MMULT(AA104:AF109,$V$19:$V$24)</f>
        <v>7.7369432355351542</v>
      </c>
      <c r="AA104" s="138">
        <f t="array" ref="AA104:AF109">MINVERSE(AA97:AF102)</f>
        <v>-0.32125740494388111</v>
      </c>
      <c r="AB104" s="138">
        <v>-0.53970012132953193</v>
      </c>
      <c r="AC104" s="138">
        <v>-1.5901872081281685</v>
      </c>
      <c r="AD104" s="138">
        <v>0.17999584362435916</v>
      </c>
      <c r="AE104" s="138">
        <v>-0.88218345213121252</v>
      </c>
      <c r="AF104" s="138">
        <v>1</v>
      </c>
      <c r="AG104" s="133"/>
      <c r="AH104" s="142">
        <f t="array" ref="AH104:AH109">MMULT(AI104:AN109,$V$19:$V$24)</f>
        <v>7.8932002041490037</v>
      </c>
      <c r="AI104" s="138">
        <f t="array" ref="AI104:AN109">MINVERSE(AI97:AN102)</f>
        <v>-0.32125740494388111</v>
      </c>
      <c r="AJ104" s="138">
        <v>-0.55469179136646352</v>
      </c>
      <c r="AK104" s="138">
        <v>-1.4134997405583718</v>
      </c>
      <c r="AL104" s="138">
        <v>0</v>
      </c>
      <c r="AM104" s="138">
        <v>-0.9262926247377733</v>
      </c>
      <c r="AN104" s="138">
        <v>1</v>
      </c>
      <c r="AO104" s="133"/>
      <c r="AP104" s="142">
        <f t="array" ref="AP104:AP109">MMULT(AQ104:AV109,$V$19:$V$24)</f>
        <v>5.549345674941204</v>
      </c>
      <c r="AQ104" s="138">
        <f t="array" ref="AQ104:AV109">MINVERSE(AQ97:AV102)</f>
        <v>-0.32125740494388111</v>
      </c>
      <c r="AR104" s="138">
        <v>-0.32981674081249179</v>
      </c>
      <c r="AS104" s="138">
        <v>-4.0638117541053198</v>
      </c>
      <c r="AT104" s="138">
        <v>0</v>
      </c>
      <c r="AU104" s="138">
        <v>-0.26465503563936371</v>
      </c>
      <c r="AV104" s="139">
        <v>1</v>
      </c>
    </row>
    <row r="105" spans="1:48" hidden="1" outlineLevel="1" x14ac:dyDescent="0.2">
      <c r="A105" s="132"/>
      <c r="B105" s="142">
        <v>13.86274230535126</v>
      </c>
      <c r="C105" s="138">
        <v>1.321257404943881</v>
      </c>
      <c r="D105" s="138">
        <v>-1.9730326890718541</v>
      </c>
      <c r="E105" s="138">
        <v>-2.1800240675680822</v>
      </c>
      <c r="F105" s="138">
        <v>-0.74028127472843619</v>
      </c>
      <c r="G105" s="138">
        <v>-0.54423247559893539</v>
      </c>
      <c r="H105" s="138">
        <v>0</v>
      </c>
      <c r="I105" s="133"/>
      <c r="J105" s="142">
        <v>16.928170919932473</v>
      </c>
      <c r="K105" s="138">
        <v>1.321257404943881</v>
      </c>
      <c r="L105" s="138">
        <v>-1.9113754175383586</v>
      </c>
      <c r="M105" s="138">
        <v>-2.9066987567574425</v>
      </c>
      <c r="N105" s="138">
        <v>0.74028127472843619</v>
      </c>
      <c r="O105" s="138">
        <v>0.54423247559893539</v>
      </c>
      <c r="P105" s="138">
        <v>0</v>
      </c>
      <c r="Q105" s="133"/>
      <c r="R105" s="142">
        <v>16.087588737434544</v>
      </c>
      <c r="S105" s="138">
        <v>1.321257404943881</v>
      </c>
      <c r="T105" s="138">
        <v>-1.9730326890718541</v>
      </c>
      <c r="U105" s="138">
        <v>-2.1800240675680818</v>
      </c>
      <c r="V105" s="138">
        <v>-0.74028127472843674</v>
      </c>
      <c r="W105" s="138">
        <v>-2.9337807848503616E-16</v>
      </c>
      <c r="X105" s="138">
        <v>0</v>
      </c>
      <c r="Y105" s="133"/>
      <c r="Z105" s="142">
        <v>15.444939965210278</v>
      </c>
      <c r="AA105" s="138">
        <v>1.321257404943881</v>
      </c>
      <c r="AB105" s="138">
        <v>-1.9113754175383588</v>
      </c>
      <c r="AC105" s="138">
        <v>-2.9066987567574429</v>
      </c>
      <c r="AD105" s="138">
        <v>0.74028127472843674</v>
      </c>
      <c r="AE105" s="138">
        <v>0.18141082519964508</v>
      </c>
      <c r="AF105" s="138">
        <v>0</v>
      </c>
      <c r="AG105" s="133"/>
      <c r="AH105" s="142">
        <v>16.087588737434544</v>
      </c>
      <c r="AI105" s="138">
        <v>1.321257404943881</v>
      </c>
      <c r="AJ105" s="138">
        <v>-1.9730326890718541</v>
      </c>
      <c r="AK105" s="138">
        <v>-2.1800240675680818</v>
      </c>
      <c r="AL105" s="138">
        <v>0</v>
      </c>
      <c r="AM105" s="138">
        <v>0</v>
      </c>
      <c r="AN105" s="138">
        <v>0</v>
      </c>
      <c r="AO105" s="133"/>
      <c r="AP105" s="142">
        <v>16.087588737434544</v>
      </c>
      <c r="AQ105" s="138">
        <v>1.321257404943881</v>
      </c>
      <c r="AR105" s="138">
        <v>-1.9730326890718541</v>
      </c>
      <c r="AS105" s="138">
        <v>-2.1800240675680822</v>
      </c>
      <c r="AT105" s="138">
        <v>0</v>
      </c>
      <c r="AU105" s="138">
        <v>0</v>
      </c>
      <c r="AV105" s="139">
        <v>0</v>
      </c>
    </row>
    <row r="106" spans="1:48" hidden="1" outlineLevel="1" x14ac:dyDescent="0.2">
      <c r="A106" s="132"/>
      <c r="B106" s="142">
        <v>56.000337781860075</v>
      </c>
      <c r="C106" s="138">
        <v>0</v>
      </c>
      <c r="D106" s="138">
        <v>3.9174781748310292</v>
      </c>
      <c r="E106" s="138">
        <v>0</v>
      </c>
      <c r="F106" s="138">
        <v>0</v>
      </c>
      <c r="G106" s="138">
        <v>0</v>
      </c>
      <c r="H106" s="138">
        <v>0</v>
      </c>
      <c r="I106" s="133"/>
      <c r="J106" s="142">
        <v>56.000337781860075</v>
      </c>
      <c r="K106" s="138">
        <v>0</v>
      </c>
      <c r="L106" s="138">
        <v>3.9174781748310292</v>
      </c>
      <c r="M106" s="138">
        <v>0</v>
      </c>
      <c r="N106" s="138">
        <v>0</v>
      </c>
      <c r="O106" s="138">
        <v>0</v>
      </c>
      <c r="P106" s="138">
        <v>0</v>
      </c>
      <c r="Q106" s="133"/>
      <c r="R106" s="142">
        <v>56.000337781860075</v>
      </c>
      <c r="S106" s="138">
        <v>0</v>
      </c>
      <c r="T106" s="138">
        <v>3.9174781748310292</v>
      </c>
      <c r="U106" s="138">
        <v>0</v>
      </c>
      <c r="V106" s="138">
        <v>0</v>
      </c>
      <c r="W106" s="138">
        <v>0</v>
      </c>
      <c r="X106" s="138">
        <v>0</v>
      </c>
      <c r="Y106" s="133"/>
      <c r="Z106" s="142">
        <v>56.000337781860075</v>
      </c>
      <c r="AA106" s="138">
        <v>0</v>
      </c>
      <c r="AB106" s="138">
        <v>3.9174781748310292</v>
      </c>
      <c r="AC106" s="138">
        <v>0</v>
      </c>
      <c r="AD106" s="138">
        <v>0</v>
      </c>
      <c r="AE106" s="138">
        <v>0</v>
      </c>
      <c r="AF106" s="138">
        <v>0</v>
      </c>
      <c r="AG106" s="133"/>
      <c r="AH106" s="142">
        <v>56.000337781860075</v>
      </c>
      <c r="AI106" s="138">
        <v>0</v>
      </c>
      <c r="AJ106" s="138">
        <v>3.9174781748310292</v>
      </c>
      <c r="AK106" s="138">
        <v>0</v>
      </c>
      <c r="AL106" s="138">
        <v>0</v>
      </c>
      <c r="AM106" s="138">
        <v>0</v>
      </c>
      <c r="AN106" s="138">
        <v>0</v>
      </c>
      <c r="AO106" s="133"/>
      <c r="AP106" s="142">
        <v>56.000337781860075</v>
      </c>
      <c r="AQ106" s="138">
        <v>0</v>
      </c>
      <c r="AR106" s="138">
        <v>3.9174781748310292</v>
      </c>
      <c r="AS106" s="138">
        <v>0</v>
      </c>
      <c r="AT106" s="138">
        <v>0</v>
      </c>
      <c r="AU106" s="138">
        <v>0</v>
      </c>
      <c r="AV106" s="139">
        <v>0</v>
      </c>
    </row>
    <row r="107" spans="1:48" hidden="1" outlineLevel="1" x14ac:dyDescent="0.2">
      <c r="A107" s="132"/>
      <c r="B107" s="142">
        <v>-15.650751839514706</v>
      </c>
      <c r="C107" s="138">
        <v>0</v>
      </c>
      <c r="D107" s="138">
        <v>-0.31479534420805438</v>
      </c>
      <c r="E107" s="138">
        <v>3.7100864702774721</v>
      </c>
      <c r="F107" s="138">
        <v>-7.5591116146720081</v>
      </c>
      <c r="G107" s="138">
        <v>-5.5572309712828414</v>
      </c>
      <c r="H107" s="138">
        <v>0</v>
      </c>
      <c r="I107" s="133"/>
      <c r="J107" s="142">
        <v>25.755389506083443</v>
      </c>
      <c r="K107" s="138">
        <v>0</v>
      </c>
      <c r="L107" s="138">
        <v>0.51803752228119482</v>
      </c>
      <c r="M107" s="138">
        <v>-6.1054397336996891</v>
      </c>
      <c r="N107" s="138">
        <v>12.439521497254393</v>
      </c>
      <c r="O107" s="138">
        <v>9.1451611851190204</v>
      </c>
      <c r="P107" s="138">
        <v>0</v>
      </c>
      <c r="Q107" s="133"/>
      <c r="R107" s="142">
        <v>8.0991950190153421</v>
      </c>
      <c r="S107" s="138">
        <v>0</v>
      </c>
      <c r="T107" s="138">
        <v>-0.77705628342179234</v>
      </c>
      <c r="U107" s="138">
        <v>9.1581596005495349</v>
      </c>
      <c r="V107" s="138">
        <v>-18.659282245881595</v>
      </c>
      <c r="W107" s="138">
        <v>-2.2862902962797547</v>
      </c>
      <c r="X107" s="138">
        <v>0</v>
      </c>
      <c r="Y107" s="133"/>
      <c r="Z107" s="142">
        <v>9.791762749207205</v>
      </c>
      <c r="AA107" s="138">
        <v>0</v>
      </c>
      <c r="AB107" s="138">
        <v>-0.93944530934037662</v>
      </c>
      <c r="AC107" s="138">
        <v>11.072029481623407</v>
      </c>
      <c r="AD107" s="138">
        <v>-11.279347169268398</v>
      </c>
      <c r="AE107" s="138">
        <v>-2.7640786651545155</v>
      </c>
      <c r="AF107" s="138">
        <v>0</v>
      </c>
      <c r="AG107" s="133"/>
      <c r="AH107" s="142">
        <v>12.562738362935917</v>
      </c>
      <c r="AI107" s="138">
        <v>0</v>
      </c>
      <c r="AJ107" s="138">
        <v>0</v>
      </c>
      <c r="AK107" s="138">
        <v>0</v>
      </c>
      <c r="AL107" s="138">
        <v>0</v>
      </c>
      <c r="AM107" s="138">
        <v>3.07304364965105</v>
      </c>
      <c r="AN107" s="138">
        <v>0</v>
      </c>
      <c r="AO107" s="133"/>
      <c r="AP107" s="142">
        <v>23.449011143330473</v>
      </c>
      <c r="AQ107" s="138">
        <v>0</v>
      </c>
      <c r="AR107" s="138">
        <v>-1.0444552387229276</v>
      </c>
      <c r="AS107" s="138">
        <v>12.3096460011025</v>
      </c>
      <c r="AT107" s="138">
        <v>0</v>
      </c>
      <c r="AU107" s="138">
        <v>0</v>
      </c>
      <c r="AV107" s="139">
        <v>0</v>
      </c>
    </row>
    <row r="108" spans="1:48" hidden="1" outlineLevel="1" x14ac:dyDescent="0.2">
      <c r="A108" s="132"/>
      <c r="B108" s="142">
        <v>0</v>
      </c>
      <c r="C108" s="138">
        <v>0</v>
      </c>
      <c r="D108" s="138">
        <v>0</v>
      </c>
      <c r="E108" s="138">
        <v>0</v>
      </c>
      <c r="F108" s="138">
        <v>11.279347169268398</v>
      </c>
      <c r="G108" s="138">
        <v>0</v>
      </c>
      <c r="H108" s="138">
        <v>0</v>
      </c>
      <c r="I108" s="133"/>
      <c r="J108" s="142">
        <v>-13.42100998267631</v>
      </c>
      <c r="K108" s="138">
        <v>0</v>
      </c>
      <c r="L108" s="138">
        <v>-0.98444015824433306</v>
      </c>
      <c r="M108" s="138">
        <v>11.602325698585298</v>
      </c>
      <c r="N108" s="138">
        <v>-23.639145784875584</v>
      </c>
      <c r="O108" s="138">
        <v>-8.689393660717954</v>
      </c>
      <c r="P108" s="138">
        <v>0</v>
      </c>
      <c r="Q108" s="133"/>
      <c r="R108" s="142">
        <v>7.1196019727386393</v>
      </c>
      <c r="S108" s="138">
        <v>0</v>
      </c>
      <c r="T108" s="138">
        <v>0.52222761936146389</v>
      </c>
      <c r="U108" s="138">
        <v>-6.1548230005512501</v>
      </c>
      <c r="V108" s="138">
        <v>12.540137380204467</v>
      </c>
      <c r="W108" s="138">
        <v>4.6095654744765744</v>
      </c>
      <c r="X108" s="138">
        <v>0</v>
      </c>
      <c r="Y108" s="133"/>
      <c r="Z108" s="142">
        <v>12.562738362935917</v>
      </c>
      <c r="AA108" s="138">
        <v>0</v>
      </c>
      <c r="AB108" s="138">
        <v>0</v>
      </c>
      <c r="AC108" s="138">
        <v>0</v>
      </c>
      <c r="AD108" s="138">
        <v>0</v>
      </c>
      <c r="AE108" s="138">
        <v>3.07304364965105</v>
      </c>
      <c r="AF108" s="138">
        <v>0</v>
      </c>
      <c r="AG108" s="133"/>
      <c r="AH108" s="142">
        <v>4.930485662026344</v>
      </c>
      <c r="AI108" s="138">
        <v>0</v>
      </c>
      <c r="AJ108" s="138">
        <v>-0.47304267337723832</v>
      </c>
      <c r="AK108" s="138">
        <v>5.5751435167377954</v>
      </c>
      <c r="AL108" s="138">
        <v>0</v>
      </c>
      <c r="AM108" s="138">
        <v>-1.3918076424350334</v>
      </c>
      <c r="AN108" s="138">
        <v>0</v>
      </c>
      <c r="AO108" s="133"/>
      <c r="AP108" s="142">
        <v>-4.4800469048440057</v>
      </c>
      <c r="AQ108" s="138">
        <v>0</v>
      </c>
      <c r="AR108" s="138">
        <v>0.42982649377624438</v>
      </c>
      <c r="AS108" s="138">
        <v>-5.0658101794290973</v>
      </c>
      <c r="AT108" s="138">
        <v>0</v>
      </c>
      <c r="AU108" s="138">
        <v>1.2646550356393638</v>
      </c>
      <c r="AV108" s="139">
        <v>0</v>
      </c>
    </row>
    <row r="109" spans="1:48" hidden="1" outlineLevel="1" x14ac:dyDescent="0.2">
      <c r="A109" s="132"/>
      <c r="B109" s="142">
        <v>35.522625623801105</v>
      </c>
      <c r="C109" s="138">
        <v>0</v>
      </c>
      <c r="D109" s="138">
        <v>0</v>
      </c>
      <c r="E109" s="138">
        <v>0</v>
      </c>
      <c r="F109" s="138">
        <v>0</v>
      </c>
      <c r="G109" s="138">
        <v>8.6893936607179576</v>
      </c>
      <c r="H109" s="138">
        <v>0</v>
      </c>
      <c r="I109" s="133"/>
      <c r="J109" s="142">
        <v>0</v>
      </c>
      <c r="K109" s="138">
        <v>0</v>
      </c>
      <c r="L109" s="138">
        <v>0</v>
      </c>
      <c r="M109" s="138">
        <v>0</v>
      </c>
      <c r="N109" s="138">
        <v>11.279347169268398</v>
      </c>
      <c r="O109" s="138">
        <v>0</v>
      </c>
      <c r="P109" s="138">
        <v>0</v>
      </c>
      <c r="Q109" s="133"/>
      <c r="R109" s="142">
        <v>0</v>
      </c>
      <c r="S109" s="138">
        <v>0</v>
      </c>
      <c r="T109" s="138">
        <v>0</v>
      </c>
      <c r="U109" s="138">
        <v>0</v>
      </c>
      <c r="V109" s="138">
        <v>11.279347169268398</v>
      </c>
      <c r="W109" s="138">
        <v>0</v>
      </c>
      <c r="X109" s="138">
        <v>0</v>
      </c>
      <c r="Y109" s="133"/>
      <c r="Z109" s="142">
        <v>-4.930485662026344</v>
      </c>
      <c r="AA109" s="138">
        <v>0</v>
      </c>
      <c r="AB109" s="138">
        <v>0.47304267337723827</v>
      </c>
      <c r="AC109" s="138">
        <v>-5.5751435167377954</v>
      </c>
      <c r="AD109" s="138">
        <v>11.359070050915603</v>
      </c>
      <c r="AE109" s="138">
        <v>1.3918076424350334</v>
      </c>
      <c r="AF109" s="138">
        <v>0</v>
      </c>
      <c r="AG109" s="133"/>
      <c r="AH109" s="142">
        <v>-0.86811431568360198</v>
      </c>
      <c r="AI109" s="138">
        <v>0</v>
      </c>
      <c r="AJ109" s="138">
        <v>8.3288978984526724E-2</v>
      </c>
      <c r="AK109" s="138">
        <v>-0.98161970861134162</v>
      </c>
      <c r="AL109" s="138">
        <v>1</v>
      </c>
      <c r="AM109" s="138">
        <v>0.24505661752175673</v>
      </c>
      <c r="AN109" s="138">
        <v>0</v>
      </c>
      <c r="AO109" s="133"/>
      <c r="AP109" s="142">
        <v>0</v>
      </c>
      <c r="AQ109" s="138">
        <v>0</v>
      </c>
      <c r="AR109" s="138">
        <v>0</v>
      </c>
      <c r="AS109" s="138">
        <v>0</v>
      </c>
      <c r="AT109" s="138">
        <v>1</v>
      </c>
      <c r="AU109" s="138">
        <v>0</v>
      </c>
      <c r="AV109" s="139">
        <v>0</v>
      </c>
    </row>
    <row r="110" spans="1:48" hidden="1" outlineLevel="1" x14ac:dyDescent="0.2">
      <c r="A110" s="132"/>
      <c r="B110" s="143">
        <f>SUM(B104:B109)</f>
        <v>96.606236432722284</v>
      </c>
      <c r="C110" s="133"/>
      <c r="D110" s="133"/>
      <c r="E110" s="133"/>
      <c r="F110" s="133"/>
      <c r="G110" s="133"/>
      <c r="H110" s="133"/>
      <c r="I110" s="133"/>
      <c r="J110" s="143">
        <f>SUM(J104:J109)</f>
        <v>96.606236432722298</v>
      </c>
      <c r="K110" s="133"/>
      <c r="L110" s="133"/>
      <c r="M110" s="133"/>
      <c r="N110" s="133"/>
      <c r="O110" s="133"/>
      <c r="P110" s="133"/>
      <c r="Q110" s="133"/>
      <c r="R110" s="143">
        <f>SUM(R104:R109)</f>
        <v>96.606236432722284</v>
      </c>
      <c r="S110" s="133"/>
      <c r="T110" s="133"/>
      <c r="U110" s="133"/>
      <c r="V110" s="133"/>
      <c r="W110" s="133"/>
      <c r="X110" s="133"/>
      <c r="Y110" s="133"/>
      <c r="Z110" s="143">
        <f>SUM(Z104:Z109)</f>
        <v>96.606236432722298</v>
      </c>
      <c r="AA110" s="133"/>
      <c r="AB110" s="133"/>
      <c r="AC110" s="133"/>
      <c r="AD110" s="133"/>
      <c r="AE110" s="133"/>
      <c r="AF110" s="133"/>
      <c r="AG110" s="133"/>
      <c r="AH110" s="143">
        <f>SUM(AH104:AH109)</f>
        <v>96.606236432722284</v>
      </c>
      <c r="AI110" s="133"/>
      <c r="AJ110" s="133"/>
      <c r="AK110" s="133"/>
      <c r="AL110" s="133"/>
      <c r="AM110" s="133"/>
      <c r="AN110" s="133"/>
      <c r="AO110" s="133"/>
      <c r="AP110" s="143">
        <f>SUM(AP104:AP109)</f>
        <v>96.606236432722298</v>
      </c>
      <c r="AQ110" s="133"/>
      <c r="AR110" s="133"/>
      <c r="AS110" s="133"/>
      <c r="AT110" s="133"/>
      <c r="AU110" s="133"/>
      <c r="AV110" s="134"/>
    </row>
    <row r="111" spans="1:48" hidden="1" outlineLevel="1" x14ac:dyDescent="0.2">
      <c r="A111" s="132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133"/>
      <c r="AD111" s="133"/>
      <c r="AE111" s="133"/>
      <c r="AF111" s="133"/>
      <c r="AG111" s="133"/>
      <c r="AH111" s="133"/>
      <c r="AI111" s="133"/>
      <c r="AJ111" s="133"/>
      <c r="AK111" s="133"/>
      <c r="AL111" s="133"/>
      <c r="AM111" s="133"/>
      <c r="AN111" s="133"/>
      <c r="AO111" s="133"/>
      <c r="AP111" s="133"/>
      <c r="AQ111" s="133"/>
      <c r="AR111" s="133"/>
      <c r="AS111" s="133"/>
      <c r="AT111" s="133"/>
      <c r="AU111" s="133"/>
      <c r="AV111" s="134"/>
    </row>
    <row r="112" spans="1:48" hidden="1" outlineLevel="1" x14ac:dyDescent="0.2">
      <c r="A112" s="135" t="s">
        <v>61</v>
      </c>
      <c r="B112" s="136">
        <v>21</v>
      </c>
      <c r="C112" s="136" t="s">
        <v>59</v>
      </c>
      <c r="D112" s="136" t="str">
        <f>$F$202</f>
        <v>C1.3A0.1SH3</v>
      </c>
      <c r="E112" s="136" t="str">
        <f>$E$202</f>
        <v>C1.75A0.05SH4.3</v>
      </c>
      <c r="F112" s="136" t="str">
        <f>$M$202</f>
        <v>Hydrogarnet</v>
      </c>
      <c r="G112" s="136" t="str">
        <f>$O$202</f>
        <v>Hemicarbonate</v>
      </c>
      <c r="H112" s="136" t="str">
        <f>$Q$202</f>
        <v>Hemisulphate</v>
      </c>
      <c r="I112" s="133"/>
      <c r="J112" s="136">
        <v>22</v>
      </c>
      <c r="K112" s="136" t="s">
        <v>59</v>
      </c>
      <c r="L112" s="136" t="str">
        <f>$F$202</f>
        <v>C1.3A0.1SH3</v>
      </c>
      <c r="M112" s="136" t="str">
        <f>$E$202</f>
        <v>C1.75A0.05SH4.3</v>
      </c>
      <c r="N112" s="136" t="str">
        <f>$R$202</f>
        <v>monosulphate</v>
      </c>
      <c r="O112" s="136" t="str">
        <f>$Q$202</f>
        <v>Hemisulphate</v>
      </c>
      <c r="P112" s="136" t="str">
        <f>$O$202</f>
        <v>Hemicarbonate</v>
      </c>
      <c r="Q112" s="133"/>
      <c r="R112" s="136">
        <v>23</v>
      </c>
      <c r="S112" s="136" t="s">
        <v>59</v>
      </c>
      <c r="T112" s="136" t="str">
        <f>$F$202</f>
        <v>C1.3A0.1SH3</v>
      </c>
      <c r="U112" s="136" t="str">
        <f>$E$202</f>
        <v>C1.75A0.05SH4.3</v>
      </c>
      <c r="V112" s="136" t="str">
        <f>$R$202</f>
        <v>monosulphate</v>
      </c>
      <c r="W112" s="136" t="str">
        <f>$S$202</f>
        <v>ettringite</v>
      </c>
      <c r="X112" s="136" t="str">
        <f>$O$202</f>
        <v>Hemicarbonate</v>
      </c>
      <c r="Y112" s="133"/>
      <c r="Z112" s="136">
        <v>24</v>
      </c>
      <c r="AA112" s="136" t="s">
        <v>59</v>
      </c>
      <c r="AB112" s="136" t="str">
        <f>$F$202</f>
        <v>C1.3A0.1SH3</v>
      </c>
      <c r="AC112" s="136" t="str">
        <f>$E$202</f>
        <v>C1.75A0.05SH4.3</v>
      </c>
      <c r="AD112" s="136" t="str">
        <f>$O$202</f>
        <v>Hemicarbonate</v>
      </c>
      <c r="AE112" s="136" t="str">
        <f>$S$202</f>
        <v>ettringite</v>
      </c>
      <c r="AF112" s="136" t="str">
        <f>$P$202</f>
        <v>monocarbonate</v>
      </c>
      <c r="AG112" s="133"/>
      <c r="AH112" s="136">
        <v>25</v>
      </c>
      <c r="AI112" s="136" t="s">
        <v>59</v>
      </c>
      <c r="AJ112" s="136" t="str">
        <f>$F$202</f>
        <v>C1.3A0.1SH3</v>
      </c>
      <c r="AK112" s="136" t="str">
        <f>$E$202</f>
        <v>C1.75A0.05SH4.3</v>
      </c>
      <c r="AL112" s="136" t="str">
        <f>$S$202</f>
        <v>ettringite</v>
      </c>
      <c r="AM112" s="136" t="str">
        <f>$P$202</f>
        <v>monocarbonate</v>
      </c>
      <c r="AN112" s="136" t="str">
        <f>$U$202</f>
        <v>calcite</v>
      </c>
      <c r="AO112" s="133"/>
      <c r="AP112" s="136">
        <v>26</v>
      </c>
      <c r="AQ112" s="136" t="s">
        <v>59</v>
      </c>
      <c r="AR112" s="136" t="str">
        <f>$F$202</f>
        <v>C1.3A0.1SH3</v>
      </c>
      <c r="AS112" s="136" t="str">
        <f>$E$202</f>
        <v>C1.75A0.05SH4.3</v>
      </c>
      <c r="AT112" s="136" t="str">
        <f>$S$202</f>
        <v>ettringite</v>
      </c>
      <c r="AU112" s="136" t="str">
        <f>$T$202</f>
        <v>gypsum</v>
      </c>
      <c r="AV112" s="137" t="str">
        <f>$U$202</f>
        <v>calcite</v>
      </c>
    </row>
    <row r="113" spans="1:48" hidden="1" outlineLevel="1" x14ac:dyDescent="0.2">
      <c r="A113" s="132"/>
      <c r="B113" s="133"/>
      <c r="C113" s="138">
        <v>0</v>
      </c>
      <c r="D113" s="138">
        <f>$F$203</f>
        <v>0.36962820238752458</v>
      </c>
      <c r="E113" s="138">
        <f>$E$203</f>
        <v>0.41692537379616368</v>
      </c>
      <c r="F113" s="138">
        <f>$M$203</f>
        <v>0.44472323706657291</v>
      </c>
      <c r="G113" s="138">
        <f>$O$203</f>
        <v>0.34771498375494458</v>
      </c>
      <c r="H113" s="138">
        <f>$Q$203</f>
        <v>0.33182231315971239</v>
      </c>
      <c r="I113" s="133"/>
      <c r="J113" s="133"/>
      <c r="K113" s="138">
        <v>0</v>
      </c>
      <c r="L113" s="138">
        <f>$F$203</f>
        <v>0.36962820238752458</v>
      </c>
      <c r="M113" s="138">
        <f>$E$203</f>
        <v>0.41692537379616368</v>
      </c>
      <c r="N113" s="138">
        <f>$R$203</f>
        <v>0.27024452567298896</v>
      </c>
      <c r="O113" s="138">
        <f>$Q$203</f>
        <v>0.33182231315971239</v>
      </c>
      <c r="P113" s="138">
        <f>$O$203</f>
        <v>0.34771498375494458</v>
      </c>
      <c r="Q113" s="133"/>
      <c r="R113" s="133"/>
      <c r="S113" s="138">
        <v>0</v>
      </c>
      <c r="T113" s="138">
        <f>$F$203</f>
        <v>0.36962820238752458</v>
      </c>
      <c r="U113" s="138">
        <f>$E$203</f>
        <v>0.41692537379616368</v>
      </c>
      <c r="V113" s="138">
        <f>$R$203</f>
        <v>0.27024452567298896</v>
      </c>
      <c r="W113" s="138">
        <f>$S$203</f>
        <v>0.13403810838353239</v>
      </c>
      <c r="X113" s="138">
        <f>$O$203</f>
        <v>0.34771498375494458</v>
      </c>
      <c r="Y113" s="133"/>
      <c r="Z113" s="133"/>
      <c r="AA113" s="138">
        <v>0</v>
      </c>
      <c r="AB113" s="138">
        <f>$F$203</f>
        <v>0.36962820238752458</v>
      </c>
      <c r="AC113" s="138">
        <f>$E$203</f>
        <v>0.41692537379616368</v>
      </c>
      <c r="AD113" s="138">
        <f>$O$203</f>
        <v>0.34771498375494458</v>
      </c>
      <c r="AE113" s="138">
        <f>$S$203</f>
        <v>0.13403810838353239</v>
      </c>
      <c r="AF113" s="138">
        <f>$P$203</f>
        <v>0.29594963069652797</v>
      </c>
      <c r="AG113" s="133"/>
      <c r="AH113" s="133"/>
      <c r="AI113" s="138">
        <v>0</v>
      </c>
      <c r="AJ113" s="138">
        <f>$F$203</f>
        <v>0.36962820238752458</v>
      </c>
      <c r="AK113" s="138">
        <f>$E$203</f>
        <v>0.41692537379616368</v>
      </c>
      <c r="AL113" s="138">
        <f>$S$203</f>
        <v>0.13403810838353239</v>
      </c>
      <c r="AM113" s="138">
        <f>$P$203</f>
        <v>0.29594963069652797</v>
      </c>
      <c r="AN113" s="138">
        <f>$U$203</f>
        <v>0</v>
      </c>
      <c r="AO113" s="133"/>
      <c r="AP113" s="133"/>
      <c r="AQ113" s="138">
        <v>0</v>
      </c>
      <c r="AR113" s="138">
        <f>$F$203</f>
        <v>0.36962820238752458</v>
      </c>
      <c r="AS113" s="138">
        <f>$E$203</f>
        <v>0.41692537379616368</v>
      </c>
      <c r="AT113" s="138">
        <f>$S$203</f>
        <v>0.13403810838353239</v>
      </c>
      <c r="AU113" s="138">
        <f>$T$203</f>
        <v>0</v>
      </c>
      <c r="AV113" s="139">
        <f>$U$203</f>
        <v>0</v>
      </c>
    </row>
    <row r="114" spans="1:48" hidden="1" outlineLevel="1" x14ac:dyDescent="0.2">
      <c r="A114" s="132"/>
      <c r="B114" s="133"/>
      <c r="C114" s="138">
        <v>0</v>
      </c>
      <c r="D114" s="138">
        <f>$F$204</f>
        <v>0.30464558189920393</v>
      </c>
      <c r="E114" s="138">
        <f>$E$204</f>
        <v>0.25526625940759262</v>
      </c>
      <c r="F114" s="138">
        <f>$M$204</f>
        <v>0</v>
      </c>
      <c r="G114" s="138">
        <f>$O$204</f>
        <v>0</v>
      </c>
      <c r="H114" s="138">
        <f>$Q$204</f>
        <v>0</v>
      </c>
      <c r="I114" s="133"/>
      <c r="J114" s="133"/>
      <c r="K114" s="138">
        <v>0</v>
      </c>
      <c r="L114" s="138">
        <f>$F$204</f>
        <v>0.30464558189920393</v>
      </c>
      <c r="M114" s="138">
        <f>$E$204</f>
        <v>0.25526625940759262</v>
      </c>
      <c r="N114" s="138">
        <f>$R$204</f>
        <v>0</v>
      </c>
      <c r="O114" s="138">
        <f>$Q$204</f>
        <v>0</v>
      </c>
      <c r="P114" s="138">
        <f>$O$204</f>
        <v>0</v>
      </c>
      <c r="Q114" s="133"/>
      <c r="R114" s="133"/>
      <c r="S114" s="138">
        <v>0</v>
      </c>
      <c r="T114" s="138">
        <f>$F$204</f>
        <v>0.30464558189920393</v>
      </c>
      <c r="U114" s="138">
        <f>$E$204</f>
        <v>0.25526625940759262</v>
      </c>
      <c r="V114" s="138">
        <f>$R$204</f>
        <v>0</v>
      </c>
      <c r="W114" s="138">
        <f>$S$204</f>
        <v>0</v>
      </c>
      <c r="X114" s="138">
        <f>$O$204</f>
        <v>0</v>
      </c>
      <c r="Y114" s="133"/>
      <c r="Z114" s="133"/>
      <c r="AA114" s="138">
        <v>0</v>
      </c>
      <c r="AB114" s="138">
        <f>$F$204</f>
        <v>0.30464558189920393</v>
      </c>
      <c r="AC114" s="138">
        <f>$E$204</f>
        <v>0.25526625940759262</v>
      </c>
      <c r="AD114" s="138">
        <f>$O$204</f>
        <v>0</v>
      </c>
      <c r="AE114" s="138">
        <f>$S$204</f>
        <v>0</v>
      </c>
      <c r="AF114" s="138">
        <f>$P$204</f>
        <v>0</v>
      </c>
      <c r="AG114" s="133"/>
      <c r="AH114" s="133"/>
      <c r="AI114" s="138">
        <v>0</v>
      </c>
      <c r="AJ114" s="138">
        <f>$F$204</f>
        <v>0.30464558189920393</v>
      </c>
      <c r="AK114" s="138">
        <f>$E$204</f>
        <v>0.25526625940759262</v>
      </c>
      <c r="AL114" s="138">
        <f>$S$204</f>
        <v>0</v>
      </c>
      <c r="AM114" s="138">
        <f>$P$204</f>
        <v>0</v>
      </c>
      <c r="AN114" s="138">
        <f>$U$204</f>
        <v>0</v>
      </c>
      <c r="AO114" s="133"/>
      <c r="AP114" s="133"/>
      <c r="AQ114" s="138">
        <v>0</v>
      </c>
      <c r="AR114" s="138">
        <f>$F$204</f>
        <v>0.30464558189920393</v>
      </c>
      <c r="AS114" s="138">
        <f>$E$204</f>
        <v>0.25526625940759262</v>
      </c>
      <c r="AT114" s="138">
        <f>$S$204</f>
        <v>0</v>
      </c>
      <c r="AU114" s="138">
        <f>$T$204</f>
        <v>0</v>
      </c>
      <c r="AV114" s="139">
        <f>$U$204</f>
        <v>0</v>
      </c>
    </row>
    <row r="115" spans="1:48" hidden="1" outlineLevel="1" x14ac:dyDescent="0.2">
      <c r="A115" s="132"/>
      <c r="B115" s="133"/>
      <c r="C115" s="138">
        <v>0</v>
      </c>
      <c r="D115" s="138">
        <f>$F$205</f>
        <v>5.169745319076114E-2</v>
      </c>
      <c r="E115" s="138">
        <f>$E$205</f>
        <v>2.1658964188213614E-2</v>
      </c>
      <c r="F115" s="138">
        <f>$M$205</f>
        <v>0.26953549681692768</v>
      </c>
      <c r="G115" s="138">
        <f>$O$205</f>
        <v>0.18063535716911364</v>
      </c>
      <c r="H115" s="138">
        <f>$Q$205</f>
        <v>0.17237923257436782</v>
      </c>
      <c r="I115" s="133"/>
      <c r="J115" s="133"/>
      <c r="K115" s="138">
        <v>0</v>
      </c>
      <c r="L115" s="138">
        <f>$F$205</f>
        <v>5.169745319076114E-2</v>
      </c>
      <c r="M115" s="138">
        <f>$E$205</f>
        <v>2.1658964188213614E-2</v>
      </c>
      <c r="N115" s="138">
        <f>$R$205</f>
        <v>0.16378836637767183</v>
      </c>
      <c r="O115" s="138">
        <f>$Q$205</f>
        <v>0.17237923257436782</v>
      </c>
      <c r="P115" s="138">
        <f>$O$205</f>
        <v>0.18063535716911364</v>
      </c>
      <c r="Q115" s="133"/>
      <c r="R115" s="133"/>
      <c r="S115" s="138">
        <v>0</v>
      </c>
      <c r="T115" s="138">
        <f>$F$205</f>
        <v>5.169745319076114E-2</v>
      </c>
      <c r="U115" s="138">
        <f>$E$205</f>
        <v>2.1658964188213614E-2</v>
      </c>
      <c r="V115" s="138">
        <f>$R$205</f>
        <v>0.16378836637767183</v>
      </c>
      <c r="W115" s="138">
        <f>$S$205</f>
        <v>8.1237104617828668E-2</v>
      </c>
      <c r="X115" s="138">
        <f>$O$205</f>
        <v>0.18063535716911364</v>
      </c>
      <c r="Y115" s="133"/>
      <c r="Z115" s="133"/>
      <c r="AA115" s="138">
        <v>0</v>
      </c>
      <c r="AB115" s="138">
        <f>$F$205</f>
        <v>5.169745319076114E-2</v>
      </c>
      <c r="AC115" s="138">
        <f>$E$205</f>
        <v>2.1658964188213614E-2</v>
      </c>
      <c r="AD115" s="138">
        <f>$O$205</f>
        <v>0.18063535716911364</v>
      </c>
      <c r="AE115" s="138">
        <f>$S$205</f>
        <v>8.1237104617828668E-2</v>
      </c>
      <c r="AF115" s="138">
        <f>$P$205</f>
        <v>0.17936757986548366</v>
      </c>
      <c r="AG115" s="133"/>
      <c r="AH115" s="133"/>
      <c r="AI115" s="138">
        <v>0</v>
      </c>
      <c r="AJ115" s="138">
        <f>$F$205</f>
        <v>5.169745319076114E-2</v>
      </c>
      <c r="AK115" s="138">
        <f>$E$205</f>
        <v>2.1658964188213614E-2</v>
      </c>
      <c r="AL115" s="138">
        <f>$S$205</f>
        <v>8.1237104617828668E-2</v>
      </c>
      <c r="AM115" s="138">
        <f>$P$205</f>
        <v>0.17936757986548366</v>
      </c>
      <c r="AN115" s="138">
        <f>$U$205</f>
        <v>0</v>
      </c>
      <c r="AO115" s="133"/>
      <c r="AP115" s="133"/>
      <c r="AQ115" s="138">
        <v>0</v>
      </c>
      <c r="AR115" s="138">
        <f>$F$205</f>
        <v>5.169745319076114E-2</v>
      </c>
      <c r="AS115" s="138">
        <f>$E$205</f>
        <v>2.1658964188213614E-2</v>
      </c>
      <c r="AT115" s="138">
        <f>$S$205</f>
        <v>8.1237104617828668E-2</v>
      </c>
      <c r="AU115" s="138">
        <f>$T$205</f>
        <v>0</v>
      </c>
      <c r="AV115" s="139">
        <f>$U$205</f>
        <v>0</v>
      </c>
    </row>
    <row r="116" spans="1:48" hidden="1" outlineLevel="1" x14ac:dyDescent="0.2">
      <c r="A116" s="132"/>
      <c r="B116" s="133"/>
      <c r="C116" s="138">
        <v>0</v>
      </c>
      <c r="D116" s="138">
        <f>$F$206</f>
        <v>0</v>
      </c>
      <c r="E116" s="138">
        <f>$E$206</f>
        <v>0</v>
      </c>
      <c r="F116" s="138">
        <f>$M$206</f>
        <v>0</v>
      </c>
      <c r="G116" s="138">
        <f>$O$206</f>
        <v>8.8657613334625476E-2</v>
      </c>
      <c r="H116" s="138">
        <f>$Q$206</f>
        <v>0</v>
      </c>
      <c r="I116" s="133"/>
      <c r="J116" s="133"/>
      <c r="K116" s="138">
        <v>0</v>
      </c>
      <c r="L116" s="138">
        <f>$F$206</f>
        <v>0</v>
      </c>
      <c r="M116" s="138">
        <f>$E$206</f>
        <v>0</v>
      </c>
      <c r="N116" s="138">
        <f>$R$206</f>
        <v>0</v>
      </c>
      <c r="O116" s="138">
        <f>$Q$206</f>
        <v>0</v>
      </c>
      <c r="P116" s="138">
        <f>$O$206</f>
        <v>8.8657613334625476E-2</v>
      </c>
      <c r="Q116" s="133"/>
      <c r="R116" s="133"/>
      <c r="S116" s="138">
        <v>0</v>
      </c>
      <c r="T116" s="138">
        <f>$F$206</f>
        <v>0</v>
      </c>
      <c r="U116" s="138">
        <f>$E$206</f>
        <v>0</v>
      </c>
      <c r="V116" s="138">
        <f>$R$206</f>
        <v>0</v>
      </c>
      <c r="W116" s="138">
        <f>$S$206</f>
        <v>0</v>
      </c>
      <c r="X116" s="138">
        <f>$O$206</f>
        <v>8.8657613334625476E-2</v>
      </c>
      <c r="Y116" s="133"/>
      <c r="Z116" s="133"/>
      <c r="AA116" s="138">
        <v>0</v>
      </c>
      <c r="AB116" s="138">
        <f>$F$206</f>
        <v>0</v>
      </c>
      <c r="AC116" s="138">
        <f>$E$206</f>
        <v>0</v>
      </c>
      <c r="AD116" s="138">
        <f>$O$206</f>
        <v>8.8657613334625476E-2</v>
      </c>
      <c r="AE116" s="138">
        <f>$S$206</f>
        <v>0</v>
      </c>
      <c r="AF116" s="138">
        <f>$P$206</f>
        <v>0.17607075148187762</v>
      </c>
      <c r="AG116" s="133"/>
      <c r="AH116" s="133"/>
      <c r="AI116" s="138">
        <v>0</v>
      </c>
      <c r="AJ116" s="138">
        <f>$F$206</f>
        <v>0</v>
      </c>
      <c r="AK116" s="138">
        <f>$E$206</f>
        <v>0</v>
      </c>
      <c r="AL116" s="138">
        <f>$S$206</f>
        <v>0</v>
      </c>
      <c r="AM116" s="138">
        <f>$P$206</f>
        <v>0.17607075148187762</v>
      </c>
      <c r="AN116" s="138">
        <f>$U$206</f>
        <v>1</v>
      </c>
      <c r="AO116" s="133"/>
      <c r="AP116" s="133"/>
      <c r="AQ116" s="138">
        <v>0</v>
      </c>
      <c r="AR116" s="138">
        <f>$F$206</f>
        <v>0</v>
      </c>
      <c r="AS116" s="138">
        <f>$E$206</f>
        <v>0</v>
      </c>
      <c r="AT116" s="138">
        <f>$S$206</f>
        <v>0</v>
      </c>
      <c r="AU116" s="138">
        <f>$T$206</f>
        <v>0</v>
      </c>
      <c r="AV116" s="139">
        <f>$U$206</f>
        <v>1</v>
      </c>
    </row>
    <row r="117" spans="1:48" hidden="1" outlineLevel="1" x14ac:dyDescent="0.2">
      <c r="A117" s="132"/>
      <c r="B117" s="133"/>
      <c r="C117" s="138">
        <v>0</v>
      </c>
      <c r="D117" s="138">
        <f>$F$207</f>
        <v>0</v>
      </c>
      <c r="E117" s="138">
        <f>$E$207</f>
        <v>0</v>
      </c>
      <c r="F117" s="138">
        <f>$M$207</f>
        <v>0</v>
      </c>
      <c r="G117" s="138">
        <f>$O$207</f>
        <v>0</v>
      </c>
      <c r="H117" s="138">
        <f>$Q$207</f>
        <v>0.1150828284510447</v>
      </c>
      <c r="I117" s="133"/>
      <c r="J117" s="133"/>
      <c r="K117" s="138">
        <v>0</v>
      </c>
      <c r="L117" s="138">
        <f>$F$207</f>
        <v>0</v>
      </c>
      <c r="M117" s="138">
        <f>$E$207</f>
        <v>0</v>
      </c>
      <c r="N117" s="138">
        <f>$R$207</f>
        <v>0.21869488787736116</v>
      </c>
      <c r="O117" s="138">
        <f>$Q$207</f>
        <v>0.1150828284510447</v>
      </c>
      <c r="P117" s="138">
        <f>$O$207</f>
        <v>0</v>
      </c>
      <c r="Q117" s="133"/>
      <c r="R117" s="133"/>
      <c r="S117" s="138">
        <v>0</v>
      </c>
      <c r="T117" s="138">
        <f>$F$207</f>
        <v>0</v>
      </c>
      <c r="U117" s="138">
        <f>$E$207</f>
        <v>0</v>
      </c>
      <c r="V117" s="138">
        <f>$R$207</f>
        <v>0.21869488787736116</v>
      </c>
      <c r="W117" s="138">
        <f>$S$207</f>
        <v>0.32541028179458237</v>
      </c>
      <c r="X117" s="138">
        <f>$O$207</f>
        <v>0</v>
      </c>
      <c r="Y117" s="133"/>
      <c r="Z117" s="133"/>
      <c r="AA117" s="138">
        <v>0</v>
      </c>
      <c r="AB117" s="138">
        <f>$F$207</f>
        <v>0</v>
      </c>
      <c r="AC117" s="138">
        <f>$E$207</f>
        <v>0</v>
      </c>
      <c r="AD117" s="138">
        <f>$O$207</f>
        <v>0</v>
      </c>
      <c r="AE117" s="138">
        <f>$S$207</f>
        <v>0.32541028179458237</v>
      </c>
      <c r="AF117" s="138">
        <f>$P$207</f>
        <v>0</v>
      </c>
      <c r="AG117" s="133"/>
      <c r="AH117" s="133"/>
      <c r="AI117" s="138">
        <v>0</v>
      </c>
      <c r="AJ117" s="138">
        <f>$F$207</f>
        <v>0</v>
      </c>
      <c r="AK117" s="138">
        <f>$E$207</f>
        <v>0</v>
      </c>
      <c r="AL117" s="138">
        <f>$S$207</f>
        <v>0.32541028179458237</v>
      </c>
      <c r="AM117" s="138">
        <f>$P$207</f>
        <v>0</v>
      </c>
      <c r="AN117" s="138">
        <f>$U$207</f>
        <v>0</v>
      </c>
      <c r="AO117" s="133"/>
      <c r="AP117" s="133"/>
      <c r="AQ117" s="138">
        <v>0</v>
      </c>
      <c r="AR117" s="138">
        <f>$F$207</f>
        <v>0</v>
      </c>
      <c r="AS117" s="138">
        <f>$E$207</f>
        <v>0</v>
      </c>
      <c r="AT117" s="138">
        <f>$S$207</f>
        <v>0.32541028179458237</v>
      </c>
      <c r="AU117" s="138">
        <f>$T$207</f>
        <v>0.79072946520505982</v>
      </c>
      <c r="AV117" s="139">
        <f>$U$207</f>
        <v>0</v>
      </c>
    </row>
    <row r="118" spans="1:48" hidden="1" outlineLevel="1" x14ac:dyDescent="0.2">
      <c r="A118" s="132"/>
      <c r="B118" s="133"/>
      <c r="C118" s="138">
        <v>1</v>
      </c>
      <c r="D118" s="138">
        <f>$F$208</f>
        <v>0.27402876252251041</v>
      </c>
      <c r="E118" s="138">
        <f>$E$208</f>
        <v>0.30614940260803009</v>
      </c>
      <c r="F118" s="138">
        <f>$M$208</f>
        <v>0.2857412661164993</v>
      </c>
      <c r="G118" s="138">
        <f>$O$208</f>
        <v>0.3829920457413164</v>
      </c>
      <c r="H118" s="138">
        <f>$Q$208</f>
        <v>0.38071562581487517</v>
      </c>
      <c r="I118" s="133"/>
      <c r="J118" s="133"/>
      <c r="K118" s="138">
        <v>1</v>
      </c>
      <c r="L118" s="138">
        <f>$F$208</f>
        <v>0.27402876252251041</v>
      </c>
      <c r="M118" s="138">
        <f>$E$208</f>
        <v>0.30614940260803009</v>
      </c>
      <c r="N118" s="138">
        <f>$R$208</f>
        <v>0.34727222007197794</v>
      </c>
      <c r="O118" s="138">
        <f>$Q$208</f>
        <v>0.38071562581487517</v>
      </c>
      <c r="P118" s="138">
        <f>$O$208</f>
        <v>0.3829920457413164</v>
      </c>
      <c r="Q118" s="133"/>
      <c r="R118" s="133"/>
      <c r="S118" s="138">
        <v>1</v>
      </c>
      <c r="T118" s="138">
        <f>$F$208</f>
        <v>0.27402876252251041</v>
      </c>
      <c r="U118" s="138">
        <f>$E$208</f>
        <v>0.30614940260803009</v>
      </c>
      <c r="V118" s="138">
        <f>$R$208</f>
        <v>0.34727222007197794</v>
      </c>
      <c r="W118" s="138">
        <f>$S$208</f>
        <v>0.45931450520405653</v>
      </c>
      <c r="X118" s="138">
        <f>$O$208</f>
        <v>0.3829920457413164</v>
      </c>
      <c r="Y118" s="133"/>
      <c r="Z118" s="133"/>
      <c r="AA118" s="138">
        <v>1</v>
      </c>
      <c r="AB118" s="138">
        <f>$F$208</f>
        <v>0.27402876252251041</v>
      </c>
      <c r="AC118" s="138">
        <f>$E$208</f>
        <v>0.30614940260803009</v>
      </c>
      <c r="AD118" s="138">
        <f>$O$208</f>
        <v>0.3829920457413164</v>
      </c>
      <c r="AE118" s="138">
        <f>$S$208</f>
        <v>0.45931450520405653</v>
      </c>
      <c r="AF118" s="138">
        <f>$P$208</f>
        <v>0.34861203795611073</v>
      </c>
      <c r="AG118" s="133"/>
      <c r="AH118" s="133"/>
      <c r="AI118" s="138">
        <v>1</v>
      </c>
      <c r="AJ118" s="138">
        <f>$F$208</f>
        <v>0.27402876252251041</v>
      </c>
      <c r="AK118" s="138">
        <f>$E$208</f>
        <v>0.30614940260803009</v>
      </c>
      <c r="AL118" s="138">
        <f>$S$208</f>
        <v>0.45931450520405653</v>
      </c>
      <c r="AM118" s="138">
        <f>$P$208</f>
        <v>0.34861203795611073</v>
      </c>
      <c r="AN118" s="138">
        <f>$U$208</f>
        <v>0</v>
      </c>
      <c r="AO118" s="133"/>
      <c r="AP118" s="133"/>
      <c r="AQ118" s="138">
        <v>1</v>
      </c>
      <c r="AR118" s="138">
        <f>$F$208</f>
        <v>0.27402876252251041</v>
      </c>
      <c r="AS118" s="138">
        <f>$E$208</f>
        <v>0.30614940260803009</v>
      </c>
      <c r="AT118" s="138">
        <f>$S$208</f>
        <v>0.45931450520405653</v>
      </c>
      <c r="AU118" s="138">
        <f>$T$208</f>
        <v>0.20927053479494012</v>
      </c>
      <c r="AV118" s="139">
        <f>$U$208</f>
        <v>0</v>
      </c>
    </row>
    <row r="119" spans="1:48" hidden="1" outlineLevel="1" x14ac:dyDescent="0.2">
      <c r="A119" s="132"/>
      <c r="B119" s="133"/>
      <c r="C119" s="140">
        <f t="shared" ref="C119:H119" si="72">SUM(C113:C118)</f>
        <v>1</v>
      </c>
      <c r="D119" s="140">
        <f t="shared" si="72"/>
        <v>1</v>
      </c>
      <c r="E119" s="140">
        <f t="shared" si="72"/>
        <v>1</v>
      </c>
      <c r="F119" s="140">
        <f t="shared" si="72"/>
        <v>0.99999999999999989</v>
      </c>
      <c r="G119" s="140">
        <f t="shared" si="72"/>
        <v>1</v>
      </c>
      <c r="H119" s="140">
        <f t="shared" si="72"/>
        <v>1</v>
      </c>
      <c r="I119" s="133"/>
      <c r="J119" s="133"/>
      <c r="K119" s="140">
        <f t="shared" ref="K119:P119" si="73">SUM(K113:K118)</f>
        <v>1</v>
      </c>
      <c r="L119" s="140">
        <f t="shared" si="73"/>
        <v>1</v>
      </c>
      <c r="M119" s="140">
        <f t="shared" si="73"/>
        <v>1</v>
      </c>
      <c r="N119" s="140">
        <f t="shared" si="73"/>
        <v>0.99999999999999978</v>
      </c>
      <c r="O119" s="140">
        <f t="shared" si="73"/>
        <v>1</v>
      </c>
      <c r="P119" s="140">
        <f t="shared" si="73"/>
        <v>1</v>
      </c>
      <c r="Q119" s="133"/>
      <c r="R119" s="133"/>
      <c r="S119" s="140">
        <f t="shared" ref="S119:X119" si="74">SUM(S113:S118)</f>
        <v>1</v>
      </c>
      <c r="T119" s="140">
        <f t="shared" si="74"/>
        <v>1</v>
      </c>
      <c r="U119" s="140">
        <f t="shared" si="74"/>
        <v>1</v>
      </c>
      <c r="V119" s="140">
        <f t="shared" si="74"/>
        <v>0.99999999999999978</v>
      </c>
      <c r="W119" s="140">
        <f t="shared" si="74"/>
        <v>1</v>
      </c>
      <c r="X119" s="140">
        <f t="shared" si="74"/>
        <v>1</v>
      </c>
      <c r="Y119" s="133"/>
      <c r="Z119" s="133"/>
      <c r="AA119" s="140">
        <f t="shared" ref="AA119:AF119" si="75">SUM(AA113:AA118)</f>
        <v>1</v>
      </c>
      <c r="AB119" s="140">
        <f t="shared" si="75"/>
        <v>1</v>
      </c>
      <c r="AC119" s="140">
        <f t="shared" si="75"/>
        <v>1</v>
      </c>
      <c r="AD119" s="140">
        <f t="shared" si="75"/>
        <v>1</v>
      </c>
      <c r="AE119" s="140">
        <f t="shared" si="75"/>
        <v>1</v>
      </c>
      <c r="AF119" s="140">
        <f t="shared" si="75"/>
        <v>0.99999999999999989</v>
      </c>
      <c r="AG119" s="133"/>
      <c r="AH119" s="133"/>
      <c r="AI119" s="140">
        <f t="shared" ref="AI119:AN119" si="76">SUM(AI113:AI118)</f>
        <v>1</v>
      </c>
      <c r="AJ119" s="140">
        <f t="shared" si="76"/>
        <v>1</v>
      </c>
      <c r="AK119" s="140">
        <f t="shared" si="76"/>
        <v>1</v>
      </c>
      <c r="AL119" s="140">
        <f t="shared" si="76"/>
        <v>1</v>
      </c>
      <c r="AM119" s="140">
        <f t="shared" si="76"/>
        <v>0.99999999999999989</v>
      </c>
      <c r="AN119" s="140">
        <f t="shared" si="76"/>
        <v>1</v>
      </c>
      <c r="AO119" s="133"/>
      <c r="AP119" s="133"/>
      <c r="AQ119" s="140">
        <f t="shared" ref="AQ119:AV119" si="77">SUM(AQ113:AQ118)</f>
        <v>1</v>
      </c>
      <c r="AR119" s="140">
        <f t="shared" si="77"/>
        <v>1</v>
      </c>
      <c r="AS119" s="140">
        <f t="shared" si="77"/>
        <v>1</v>
      </c>
      <c r="AT119" s="140">
        <f t="shared" si="77"/>
        <v>1</v>
      </c>
      <c r="AU119" s="140">
        <f t="shared" si="77"/>
        <v>1</v>
      </c>
      <c r="AV119" s="141">
        <f t="shared" si="77"/>
        <v>1</v>
      </c>
    </row>
    <row r="120" spans="1:48" hidden="1" outlineLevel="1" x14ac:dyDescent="0.2">
      <c r="A120" s="132"/>
      <c r="B120" s="142">
        <f t="array" ref="B120:B125">MMULT(C120:H125,$V$19:$V$24)</f>
        <v>2.9388466593441009</v>
      </c>
      <c r="C120" s="138">
        <f t="array" ref="C120:H125">MINVERSE(C113:H118)</f>
        <v>-0.69605771071174216</v>
      </c>
      <c r="D120" s="138">
        <v>-6.9961126839013732E-2</v>
      </c>
      <c r="E120" s="138">
        <v>8.8343733784897793E-2</v>
      </c>
      <c r="F120" s="138">
        <v>-1.7699591289728693</v>
      </c>
      <c r="G120" s="138">
        <v>-1.4335481097132199</v>
      </c>
      <c r="H120" s="138">
        <v>1</v>
      </c>
      <c r="I120" s="133"/>
      <c r="J120" s="142">
        <f t="array" ref="J120:J125">MMULT(K120:P125,$V$19:$V$24)</f>
        <v>5.0110349477503426</v>
      </c>
      <c r="K120" s="138">
        <f t="array" ref="K120:P125">MINVERSE(K113:P118)</f>
        <v>-0.81549956639600596</v>
      </c>
      <c r="L120" s="138">
        <v>0.17528721889335208</v>
      </c>
      <c r="M120" s="138">
        <v>-0.50287971539095899</v>
      </c>
      <c r="N120" s="138">
        <v>-9.6920838874654969E-2</v>
      </c>
      <c r="O120" s="138">
        <v>-0.20358079664566464</v>
      </c>
      <c r="P120" s="138">
        <v>1</v>
      </c>
      <c r="Q120" s="133"/>
      <c r="R120" s="142">
        <f t="array" ref="R120:R125">MMULT(S120:X125,$V$19:$V$24)</f>
        <v>6.0398295131178017</v>
      </c>
      <c r="S120" s="138">
        <f t="array" ref="S120:X125">MINVERSE(S113:X118)</f>
        <v>-0.58897190906378172</v>
      </c>
      <c r="T120" s="138">
        <v>-0.28983895404734172</v>
      </c>
      <c r="U120" s="138">
        <v>0.61840613649428855</v>
      </c>
      <c r="V120" s="138">
        <v>-3.269924492509201</v>
      </c>
      <c r="W120" s="138">
        <v>-1.3232751781968188</v>
      </c>
      <c r="X120" s="138">
        <v>1</v>
      </c>
      <c r="Y120" s="133"/>
      <c r="Z120" s="142">
        <f t="array" ref="Z120:Z125">MMULT(AA120:AF125,$V$19:$V$24)</f>
        <v>1.9594615099148029</v>
      </c>
      <c r="AA120" s="138">
        <f t="array" ref="AA120:AF125">MINVERSE(AA113:AF118)</f>
        <v>-0.81549956639600574</v>
      </c>
      <c r="AB120" s="138">
        <v>0.17528721889335197</v>
      </c>
      <c r="AC120" s="138">
        <v>-0.5028797153909601</v>
      </c>
      <c r="AD120" s="138">
        <v>-9.6920838874654969E-2</v>
      </c>
      <c r="AE120" s="138">
        <v>-0.95004371767976736</v>
      </c>
      <c r="AF120" s="138">
        <v>1</v>
      </c>
      <c r="AG120" s="133"/>
      <c r="AH120" s="142">
        <f t="array" ref="AH120:AH125">MMULT(AI120:AN125,$V$19:$V$24)</f>
        <v>1.6998017278928117</v>
      </c>
      <c r="AI120" s="138">
        <f t="array" ref="AI120:AN125">MINVERSE(AI113:AN118)</f>
        <v>-0.82991496277169252</v>
      </c>
      <c r="AJ120" s="138">
        <v>0.20488615717139602</v>
      </c>
      <c r="AK120" s="138">
        <v>-0.57423426960183854</v>
      </c>
      <c r="AL120" s="138">
        <v>0</v>
      </c>
      <c r="AM120" s="138">
        <v>-0.92629262473777341</v>
      </c>
      <c r="AN120" s="138">
        <v>1</v>
      </c>
      <c r="AO120" s="133"/>
      <c r="AP120" s="142">
        <f t="array" ref="AP120:AP125">MMULT(AQ120:AV125,$V$19:$V$24)</f>
        <v>-5.533577914148843</v>
      </c>
      <c r="AQ120" s="138">
        <f t="array" ref="AQ120:AV125">MINVERSE(AQ113:AV118)</f>
        <v>-1.2314867189515437</v>
      </c>
      <c r="AR120" s="138">
        <v>1.0294280092026253</v>
      </c>
      <c r="AS120" s="138">
        <v>-2.5619682797620502</v>
      </c>
      <c r="AT120" s="138">
        <v>0</v>
      </c>
      <c r="AU120" s="138">
        <v>-0.26465503563936371</v>
      </c>
      <c r="AV120" s="139">
        <v>1</v>
      </c>
    </row>
    <row r="121" spans="1:48" hidden="1" outlineLevel="1" x14ac:dyDescent="0.2">
      <c r="A121" s="132"/>
      <c r="B121" s="142">
        <v>-61.501926174484581</v>
      </c>
      <c r="C121" s="138">
        <v>-5.8617460807146298</v>
      </c>
      <c r="D121" s="138">
        <v>8.7533410136535945</v>
      </c>
      <c r="E121" s="138">
        <v>9.6716563223148277</v>
      </c>
      <c r="F121" s="138">
        <v>3.2842509298558333</v>
      </c>
      <c r="G121" s="138">
        <v>2.4144822718894612</v>
      </c>
      <c r="H121" s="138">
        <v>0</v>
      </c>
      <c r="I121" s="133"/>
      <c r="J121" s="142">
        <v>-69.324619811601963</v>
      </c>
      <c r="K121" s="138">
        <v>-5.4108425360442736</v>
      </c>
      <c r="L121" s="138">
        <v>7.827506867978693</v>
      </c>
      <c r="M121" s="138">
        <v>11.903577012079783</v>
      </c>
      <c r="N121" s="138">
        <v>-3.0316162429438416</v>
      </c>
      <c r="O121" s="138">
        <v>-2.2287528663595038</v>
      </c>
      <c r="P121" s="138">
        <v>0</v>
      </c>
      <c r="Q121" s="133"/>
      <c r="R121" s="142">
        <v>-71.372436496438013</v>
      </c>
      <c r="S121" s="138">
        <v>-5.861746080714628</v>
      </c>
      <c r="T121" s="138">
        <v>8.7533410136535945</v>
      </c>
      <c r="U121" s="138">
        <v>9.671656322314826</v>
      </c>
      <c r="V121" s="138">
        <v>3.2842509298558333</v>
      </c>
      <c r="W121" s="138">
        <v>-1.2014483932275054E-15</v>
      </c>
      <c r="X121" s="138">
        <v>0</v>
      </c>
      <c r="Y121" s="133"/>
      <c r="Z121" s="142">
        <v>-63.250459613476643</v>
      </c>
      <c r="AA121" s="138">
        <v>-5.4108425360442727</v>
      </c>
      <c r="AB121" s="138">
        <v>7.827506867978693</v>
      </c>
      <c r="AC121" s="138">
        <v>11.90357701207979</v>
      </c>
      <c r="AD121" s="138">
        <v>-3.0316162429438438</v>
      </c>
      <c r="AE121" s="138">
        <v>-0.7429176221198357</v>
      </c>
      <c r="AF121" s="138">
        <v>0</v>
      </c>
      <c r="AG121" s="133"/>
      <c r="AH121" s="142">
        <v>-71.372436496438098</v>
      </c>
      <c r="AI121" s="138">
        <v>-5.8617460807146298</v>
      </c>
      <c r="AJ121" s="138">
        <v>8.7533410136535945</v>
      </c>
      <c r="AK121" s="138">
        <v>9.671656322314826</v>
      </c>
      <c r="AL121" s="138">
        <v>0</v>
      </c>
      <c r="AM121" s="138">
        <v>4.5054314746031452E-16</v>
      </c>
      <c r="AN121" s="138">
        <v>0</v>
      </c>
      <c r="AO121" s="133"/>
      <c r="AP121" s="142">
        <v>-71.372436496438098</v>
      </c>
      <c r="AQ121" s="138">
        <v>-5.8617460807146298</v>
      </c>
      <c r="AR121" s="138">
        <v>8.7533410136535945</v>
      </c>
      <c r="AS121" s="138">
        <v>9.6716563223148277</v>
      </c>
      <c r="AT121" s="138">
        <v>0</v>
      </c>
      <c r="AU121" s="138">
        <v>0</v>
      </c>
      <c r="AV121" s="139">
        <v>0</v>
      </c>
    </row>
    <row r="122" spans="1:48" hidden="1" outlineLevel="1" x14ac:dyDescent="0.2">
      <c r="A122" s="132"/>
      <c r="B122" s="142">
        <v>129.39934527634773</v>
      </c>
      <c r="C122" s="138">
        <v>6.9956564171424951</v>
      </c>
      <c r="D122" s="138">
        <v>-6.529130291385048</v>
      </c>
      <c r="E122" s="138">
        <v>-11.542564908807829</v>
      </c>
      <c r="F122" s="138">
        <v>-3.9195643715346908</v>
      </c>
      <c r="G122" s="138">
        <v>-2.8815455611412406</v>
      </c>
      <c r="H122" s="138">
        <v>0</v>
      </c>
      <c r="I122" s="133"/>
      <c r="J122" s="142">
        <v>138.73527968706662</v>
      </c>
      <c r="K122" s="138">
        <v>6.4575290004392274</v>
      </c>
      <c r="L122" s="138">
        <v>-5.4242005497660406</v>
      </c>
      <c r="M122" s="138">
        <v>-14.206233733917324</v>
      </c>
      <c r="N122" s="138">
        <v>3.6180594198781688</v>
      </c>
      <c r="O122" s="138">
        <v>2.6598882102842221</v>
      </c>
      <c r="P122" s="138">
        <v>0</v>
      </c>
      <c r="Q122" s="133"/>
      <c r="R122" s="142">
        <v>141.17923098334293</v>
      </c>
      <c r="S122" s="138">
        <v>6.9956564171424942</v>
      </c>
      <c r="T122" s="138">
        <v>-6.529130291385048</v>
      </c>
      <c r="U122" s="138">
        <v>-11.542564908807831</v>
      </c>
      <c r="V122" s="138">
        <v>-3.9195643715346908</v>
      </c>
      <c r="W122" s="138">
        <v>1.2564570685806941E-15</v>
      </c>
      <c r="X122" s="138">
        <v>0</v>
      </c>
      <c r="Y122" s="133"/>
      <c r="Z122" s="142">
        <v>131.48611925199259</v>
      </c>
      <c r="AA122" s="138">
        <v>6.4575290004392265</v>
      </c>
      <c r="AB122" s="138">
        <v>-5.4242005497660388</v>
      </c>
      <c r="AC122" s="138">
        <v>-14.206233733917331</v>
      </c>
      <c r="AD122" s="138">
        <v>3.6180594198781741</v>
      </c>
      <c r="AE122" s="138">
        <v>0.88662940342807572</v>
      </c>
      <c r="AF122" s="138">
        <v>0</v>
      </c>
      <c r="AG122" s="133"/>
      <c r="AH122" s="142">
        <v>141.17923098334293</v>
      </c>
      <c r="AI122" s="138">
        <v>6.9956564171424951</v>
      </c>
      <c r="AJ122" s="138">
        <v>-6.529130291385048</v>
      </c>
      <c r="AK122" s="138">
        <v>-11.542564908807831</v>
      </c>
      <c r="AL122" s="138">
        <v>0</v>
      </c>
      <c r="AM122" s="138">
        <v>-6.2822853429034706E-16</v>
      </c>
      <c r="AN122" s="138">
        <v>0</v>
      </c>
      <c r="AO122" s="133"/>
      <c r="AP122" s="142">
        <v>141.17923098334293</v>
      </c>
      <c r="AQ122" s="138">
        <v>6.9956564171424951</v>
      </c>
      <c r="AR122" s="138">
        <v>-6.529130291385048</v>
      </c>
      <c r="AS122" s="138">
        <v>-11.542564908807829</v>
      </c>
      <c r="AT122" s="138">
        <v>0</v>
      </c>
      <c r="AU122" s="138">
        <v>0</v>
      </c>
      <c r="AV122" s="139">
        <v>0</v>
      </c>
    </row>
    <row r="123" spans="1:48" hidden="1" outlineLevel="1" x14ac:dyDescent="0.2">
      <c r="A123" s="132"/>
      <c r="B123" s="142">
        <v>-9.7526549522861199</v>
      </c>
      <c r="C123" s="138">
        <v>0.5621473742838764</v>
      </c>
      <c r="D123" s="138">
        <v>-1.1542495954295322</v>
      </c>
      <c r="E123" s="138">
        <v>2.7825648527081044</v>
      </c>
      <c r="F123" s="138">
        <v>-7.8740745986166738</v>
      </c>
      <c r="G123" s="138">
        <v>-5.7887822617529601</v>
      </c>
      <c r="H123" s="138">
        <v>0</v>
      </c>
      <c r="I123" s="133"/>
      <c r="J123" s="142">
        <v>14.814727580761954</v>
      </c>
      <c r="K123" s="138">
        <v>-0.85392749471815099</v>
      </c>
      <c r="L123" s="138">
        <v>1.753357767720966</v>
      </c>
      <c r="M123" s="138">
        <v>-4.2268428925613231</v>
      </c>
      <c r="N123" s="138">
        <v>11.961078362744605</v>
      </c>
      <c r="O123" s="138">
        <v>8.7934242164605969</v>
      </c>
      <c r="P123" s="138">
        <v>0</v>
      </c>
      <c r="Q123" s="133"/>
      <c r="R123" s="142">
        <v>24.994960923309364</v>
      </c>
      <c r="S123" s="138">
        <v>1.3876321789169965</v>
      </c>
      <c r="T123" s="138">
        <v>-2.8492063725465719</v>
      </c>
      <c r="U123" s="138">
        <v>6.8686197004121556</v>
      </c>
      <c r="V123" s="138">
        <v>-19.436752339459996</v>
      </c>
      <c r="W123" s="138">
        <v>-2.2862902962797569</v>
      </c>
      <c r="X123" s="138">
        <v>0</v>
      </c>
      <c r="Y123" s="133"/>
      <c r="Z123" s="142">
        <v>27.893909119701657</v>
      </c>
      <c r="AA123" s="138">
        <v>1.5485715704475482</v>
      </c>
      <c r="AB123" s="138">
        <v>-3.1796610469981976</v>
      </c>
      <c r="AC123" s="138">
        <v>7.6652511795854386</v>
      </c>
      <c r="AD123" s="138">
        <v>-10.411705079324678</v>
      </c>
      <c r="AE123" s="138">
        <v>-2.5514572293733995</v>
      </c>
      <c r="AF123" s="138">
        <v>0</v>
      </c>
      <c r="AG123" s="133"/>
      <c r="AH123" s="142">
        <v>12.562738362935917</v>
      </c>
      <c r="AI123" s="138">
        <v>0</v>
      </c>
      <c r="AJ123" s="138">
        <v>0</v>
      </c>
      <c r="AK123" s="138">
        <v>0</v>
      </c>
      <c r="AL123" s="138">
        <v>0</v>
      </c>
      <c r="AM123" s="138">
        <v>3.07304364965105</v>
      </c>
      <c r="AN123" s="138">
        <v>0</v>
      </c>
      <c r="AO123" s="133"/>
      <c r="AP123" s="142">
        <v>46.158912070027228</v>
      </c>
      <c r="AQ123" s="138">
        <v>1.86514121256216</v>
      </c>
      <c r="AR123" s="138">
        <v>-3.8296692086507336</v>
      </c>
      <c r="AS123" s="138">
        <v>9.2322345008268751</v>
      </c>
      <c r="AT123" s="138">
        <v>0</v>
      </c>
      <c r="AU123" s="138">
        <v>0</v>
      </c>
      <c r="AV123" s="139">
        <v>0</v>
      </c>
    </row>
    <row r="124" spans="1:48" hidden="1" outlineLevel="1" x14ac:dyDescent="0.2">
      <c r="A124" s="132"/>
      <c r="B124" s="142">
        <v>0</v>
      </c>
      <c r="C124" s="138">
        <v>0</v>
      </c>
      <c r="D124" s="138">
        <v>0</v>
      </c>
      <c r="E124" s="138">
        <v>0</v>
      </c>
      <c r="F124" s="138">
        <v>11.279347169268398</v>
      </c>
      <c r="G124" s="138">
        <v>0</v>
      </c>
      <c r="H124" s="138">
        <v>0</v>
      </c>
      <c r="I124" s="133"/>
      <c r="J124" s="142">
        <v>7.3698140287453313</v>
      </c>
      <c r="K124" s="138">
        <v>1.622740596719203</v>
      </c>
      <c r="L124" s="138">
        <v>-3.3319513048269713</v>
      </c>
      <c r="M124" s="138">
        <v>8.0323793297898209</v>
      </c>
      <c r="N124" s="138">
        <v>-22.729947870072671</v>
      </c>
      <c r="O124" s="138">
        <v>-8.0209787637396488</v>
      </c>
      <c r="P124" s="138">
        <v>0</v>
      </c>
      <c r="Q124" s="133"/>
      <c r="R124" s="142">
        <v>-4.2353484906097556</v>
      </c>
      <c r="S124" s="138">
        <v>-0.93257060628108046</v>
      </c>
      <c r="T124" s="138">
        <v>1.9148346043253675</v>
      </c>
      <c r="U124" s="138">
        <v>-4.6161172504134402</v>
      </c>
      <c r="V124" s="138">
        <v>13.062643104379655</v>
      </c>
      <c r="W124" s="138">
        <v>4.6095654744765753</v>
      </c>
      <c r="X124" s="138">
        <v>0</v>
      </c>
      <c r="Y124" s="133"/>
      <c r="Z124" s="142">
        <v>12.562738362935917</v>
      </c>
      <c r="AA124" s="138">
        <v>0</v>
      </c>
      <c r="AB124" s="138">
        <v>0</v>
      </c>
      <c r="AC124" s="138">
        <v>0</v>
      </c>
      <c r="AD124" s="138">
        <v>0</v>
      </c>
      <c r="AE124" s="138">
        <v>3.07304364965105</v>
      </c>
      <c r="AF124" s="138">
        <v>0</v>
      </c>
      <c r="AG124" s="133"/>
      <c r="AH124" s="142">
        <v>15.215993214874853</v>
      </c>
      <c r="AI124" s="138">
        <v>0.84473834081703691</v>
      </c>
      <c r="AJ124" s="138">
        <v>-1.7344898023832065</v>
      </c>
      <c r="AK124" s="138">
        <v>4.1813576375533481</v>
      </c>
      <c r="AL124" s="138">
        <v>0</v>
      </c>
      <c r="AM124" s="138">
        <v>-1.3918076424350332</v>
      </c>
      <c r="AN124" s="138">
        <v>0</v>
      </c>
      <c r="AO124" s="133"/>
      <c r="AP124" s="142">
        <v>-13.825892210060989</v>
      </c>
      <c r="AQ124" s="138">
        <v>-0.76756483003848208</v>
      </c>
      <c r="AR124" s="138">
        <v>1.5760304771795621</v>
      </c>
      <c r="AS124" s="138">
        <v>-3.7993576345718236</v>
      </c>
      <c r="AT124" s="138">
        <v>0</v>
      </c>
      <c r="AU124" s="138">
        <v>1.2646550356393638</v>
      </c>
      <c r="AV124" s="139">
        <v>0</v>
      </c>
    </row>
    <row r="125" spans="1:48" hidden="1" outlineLevel="1" x14ac:dyDescent="0.2">
      <c r="A125" s="132"/>
      <c r="B125" s="142">
        <v>35.522625623801105</v>
      </c>
      <c r="C125" s="138">
        <v>0</v>
      </c>
      <c r="D125" s="138">
        <v>0</v>
      </c>
      <c r="E125" s="138">
        <v>0</v>
      </c>
      <c r="F125" s="138">
        <v>0</v>
      </c>
      <c r="G125" s="138">
        <v>8.6893936607179576</v>
      </c>
      <c r="H125" s="138">
        <v>0</v>
      </c>
      <c r="I125" s="133"/>
      <c r="J125" s="142">
        <v>0</v>
      </c>
      <c r="K125" s="138">
        <v>0</v>
      </c>
      <c r="L125" s="138">
        <v>0</v>
      </c>
      <c r="M125" s="138">
        <v>0</v>
      </c>
      <c r="N125" s="138">
        <v>11.279347169268398</v>
      </c>
      <c r="O125" s="138">
        <v>0</v>
      </c>
      <c r="P125" s="138">
        <v>0</v>
      </c>
      <c r="Q125" s="133"/>
      <c r="R125" s="142">
        <v>0</v>
      </c>
      <c r="S125" s="138">
        <v>0</v>
      </c>
      <c r="T125" s="138">
        <v>0</v>
      </c>
      <c r="U125" s="138">
        <v>0</v>
      </c>
      <c r="V125" s="138">
        <v>11.279347169268398</v>
      </c>
      <c r="W125" s="138">
        <v>0</v>
      </c>
      <c r="X125" s="138">
        <v>0</v>
      </c>
      <c r="Y125" s="133"/>
      <c r="Z125" s="142">
        <v>-14.045532198346018</v>
      </c>
      <c r="AA125" s="138">
        <v>-0.77975846844649577</v>
      </c>
      <c r="AB125" s="138">
        <v>1.6010675098921912</v>
      </c>
      <c r="AC125" s="138">
        <v>-3.8597147423569376</v>
      </c>
      <c r="AD125" s="138">
        <v>10.922182741265004</v>
      </c>
      <c r="AE125" s="138">
        <v>1.2847455160938772</v>
      </c>
      <c r="AF125" s="138">
        <v>0</v>
      </c>
      <c r="AG125" s="133"/>
      <c r="AH125" s="142">
        <v>-2.6790913598861659</v>
      </c>
      <c r="AI125" s="138">
        <v>-0.14873371447321013</v>
      </c>
      <c r="AJ125" s="138">
        <v>0.30539292294326459</v>
      </c>
      <c r="AK125" s="138">
        <v>-0.73621478145850638</v>
      </c>
      <c r="AL125" s="138">
        <v>1</v>
      </c>
      <c r="AM125" s="138">
        <v>0.24505661752175673</v>
      </c>
      <c r="AN125" s="138">
        <v>0</v>
      </c>
      <c r="AO125" s="133"/>
      <c r="AP125" s="142">
        <v>0</v>
      </c>
      <c r="AQ125" s="138">
        <v>0</v>
      </c>
      <c r="AR125" s="138">
        <v>0</v>
      </c>
      <c r="AS125" s="138">
        <v>0</v>
      </c>
      <c r="AT125" s="138">
        <v>1</v>
      </c>
      <c r="AU125" s="138">
        <v>0</v>
      </c>
      <c r="AV125" s="139">
        <v>0</v>
      </c>
    </row>
    <row r="126" spans="1:48" hidden="1" outlineLevel="1" x14ac:dyDescent="0.2">
      <c r="A126" s="132"/>
      <c r="B126" s="143">
        <f>SUM(B120:B125)</f>
        <v>96.606236432722227</v>
      </c>
      <c r="C126" s="133"/>
      <c r="D126" s="133"/>
      <c r="E126" s="133"/>
      <c r="F126" s="133"/>
      <c r="G126" s="133"/>
      <c r="H126" s="133"/>
      <c r="I126" s="133"/>
      <c r="J126" s="143">
        <f>SUM(J120:J125)</f>
        <v>96.606236432722284</v>
      </c>
      <c r="K126" s="133"/>
      <c r="L126" s="133"/>
      <c r="M126" s="133"/>
      <c r="N126" s="133"/>
      <c r="O126" s="133"/>
      <c r="P126" s="133"/>
      <c r="Q126" s="133"/>
      <c r="R126" s="143">
        <f>SUM(R120:R125)</f>
        <v>96.606236432722341</v>
      </c>
      <c r="S126" s="133"/>
      <c r="T126" s="133"/>
      <c r="U126" s="133"/>
      <c r="V126" s="133"/>
      <c r="W126" s="133"/>
      <c r="X126" s="133"/>
      <c r="Y126" s="133"/>
      <c r="Z126" s="143">
        <f>SUM(Z120:Z125)</f>
        <v>96.606236432722312</v>
      </c>
      <c r="AA126" s="133"/>
      <c r="AB126" s="133"/>
      <c r="AC126" s="133"/>
      <c r="AD126" s="133"/>
      <c r="AE126" s="133"/>
      <c r="AF126" s="133"/>
      <c r="AG126" s="133"/>
      <c r="AH126" s="143">
        <f>SUM(AH120:AH125)</f>
        <v>96.606236432722241</v>
      </c>
      <c r="AI126" s="133"/>
      <c r="AJ126" s="133"/>
      <c r="AK126" s="133"/>
      <c r="AL126" s="133"/>
      <c r="AM126" s="133"/>
      <c r="AN126" s="133"/>
      <c r="AO126" s="133"/>
      <c r="AP126" s="143">
        <f>SUM(AP120:AP125)</f>
        <v>96.606236432722227</v>
      </c>
      <c r="AQ126" s="133"/>
      <c r="AR126" s="133"/>
      <c r="AS126" s="133"/>
      <c r="AT126" s="133"/>
      <c r="AU126" s="133"/>
      <c r="AV126" s="134"/>
    </row>
    <row r="127" spans="1:48" hidden="1" outlineLevel="1" x14ac:dyDescent="0.2">
      <c r="A127" s="132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  <c r="AP127" s="133"/>
      <c r="AQ127" s="133"/>
      <c r="AR127" s="133"/>
      <c r="AS127" s="133"/>
      <c r="AT127" s="133"/>
      <c r="AU127" s="133"/>
      <c r="AV127" s="134"/>
    </row>
    <row r="128" spans="1:48" hidden="1" outlineLevel="1" x14ac:dyDescent="0.2">
      <c r="A128" s="132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33"/>
      <c r="AQ128" s="133"/>
      <c r="AR128" s="133"/>
      <c r="AS128" s="133"/>
      <c r="AT128" s="133"/>
      <c r="AU128" s="133"/>
      <c r="AV128" s="134"/>
    </row>
    <row r="129" spans="1:48" hidden="1" outlineLevel="1" x14ac:dyDescent="0.2">
      <c r="A129" s="135" t="s">
        <v>62</v>
      </c>
      <c r="B129" s="136">
        <v>21</v>
      </c>
      <c r="C129" s="136" t="s">
        <v>59</v>
      </c>
      <c r="D129" s="136" t="str">
        <f>$F$202</f>
        <v>C1.3A0.1SH3</v>
      </c>
      <c r="E129" s="136" t="str">
        <f>$I$202</f>
        <v>strätlingite</v>
      </c>
      <c r="F129" s="136" t="str">
        <f>$M$202</f>
        <v>Hydrogarnet</v>
      </c>
      <c r="G129" s="136" t="str">
        <f>$O$202</f>
        <v>Hemicarbonate</v>
      </c>
      <c r="H129" s="136" t="str">
        <f>$Q$202</f>
        <v>Hemisulphate</v>
      </c>
      <c r="I129" s="133"/>
      <c r="J129" s="136">
        <v>22</v>
      </c>
      <c r="K129" s="136" t="s">
        <v>59</v>
      </c>
      <c r="L129" s="136" t="str">
        <f>$F$202</f>
        <v>C1.3A0.1SH3</v>
      </c>
      <c r="M129" s="136" t="str">
        <f>$I$202</f>
        <v>strätlingite</v>
      </c>
      <c r="N129" s="136" t="str">
        <f>$R$202</f>
        <v>monosulphate</v>
      </c>
      <c r="O129" s="136" t="str">
        <f>$Q$202</f>
        <v>Hemisulphate</v>
      </c>
      <c r="P129" s="136" t="str">
        <f>$O$202</f>
        <v>Hemicarbonate</v>
      </c>
      <c r="Q129" s="133"/>
      <c r="R129" s="136">
        <v>23</v>
      </c>
      <c r="S129" s="136" t="s">
        <v>59</v>
      </c>
      <c r="T129" s="136" t="str">
        <f>$F$202</f>
        <v>C1.3A0.1SH3</v>
      </c>
      <c r="U129" s="136" t="str">
        <f>$I$202</f>
        <v>strätlingite</v>
      </c>
      <c r="V129" s="136" t="str">
        <f>$R$202</f>
        <v>monosulphate</v>
      </c>
      <c r="W129" s="136" t="str">
        <f>$S$202</f>
        <v>ettringite</v>
      </c>
      <c r="X129" s="136" t="str">
        <f>$O$202</f>
        <v>Hemicarbonate</v>
      </c>
      <c r="Y129" s="133"/>
      <c r="Z129" s="136">
        <v>24</v>
      </c>
      <c r="AA129" s="136" t="s">
        <v>59</v>
      </c>
      <c r="AB129" s="136" t="str">
        <f>$F$202</f>
        <v>C1.3A0.1SH3</v>
      </c>
      <c r="AC129" s="136" t="str">
        <f>$I$202</f>
        <v>strätlingite</v>
      </c>
      <c r="AD129" s="136" t="str">
        <f>$O$202</f>
        <v>Hemicarbonate</v>
      </c>
      <c r="AE129" s="136" t="str">
        <f>$S$202</f>
        <v>ettringite</v>
      </c>
      <c r="AF129" s="136" t="str">
        <f>$P$202</f>
        <v>monocarbonate</v>
      </c>
      <c r="AG129" s="133"/>
      <c r="AH129" s="136">
        <v>25</v>
      </c>
      <c r="AI129" s="136" t="s">
        <v>59</v>
      </c>
      <c r="AJ129" s="136" t="str">
        <f>$F$202</f>
        <v>C1.3A0.1SH3</v>
      </c>
      <c r="AK129" s="136" t="str">
        <f>$I$202</f>
        <v>strätlingite</v>
      </c>
      <c r="AL129" s="136" t="str">
        <f>$S$202</f>
        <v>ettringite</v>
      </c>
      <c r="AM129" s="136" t="str">
        <f>$P$202</f>
        <v>monocarbonate</v>
      </c>
      <c r="AN129" s="136" t="str">
        <f>$U$202</f>
        <v>calcite</v>
      </c>
      <c r="AO129" s="133"/>
      <c r="AP129" s="136">
        <v>26</v>
      </c>
      <c r="AQ129" s="136" t="s">
        <v>59</v>
      </c>
      <c r="AR129" s="136" t="str">
        <f>$F$202</f>
        <v>C1.3A0.1SH3</v>
      </c>
      <c r="AS129" s="136" t="str">
        <f>$I$202</f>
        <v>strätlingite</v>
      </c>
      <c r="AT129" s="136" t="str">
        <f>$S$202</f>
        <v>ettringite</v>
      </c>
      <c r="AU129" s="136" t="str">
        <f>$T$202</f>
        <v>gypsum</v>
      </c>
      <c r="AV129" s="137" t="str">
        <f>$U$202</f>
        <v>calcite</v>
      </c>
    </row>
    <row r="130" spans="1:48" hidden="1" outlineLevel="1" x14ac:dyDescent="0.2">
      <c r="A130" s="132"/>
      <c r="B130" s="133"/>
      <c r="C130" s="138">
        <v>0</v>
      </c>
      <c r="D130" s="138">
        <f>$F$203</f>
        <v>0.36962820238752458</v>
      </c>
      <c r="E130" s="138">
        <f>$I$203</f>
        <v>0.26810599086468712</v>
      </c>
      <c r="F130" s="138">
        <f>$M$203</f>
        <v>0.44472323706657291</v>
      </c>
      <c r="G130" s="138">
        <f>$O$203</f>
        <v>0.34771498375494458</v>
      </c>
      <c r="H130" s="138">
        <f>$Q$203</f>
        <v>0.33182231315971239</v>
      </c>
      <c r="I130" s="133"/>
      <c r="J130" s="133"/>
      <c r="K130" s="138">
        <v>0</v>
      </c>
      <c r="L130" s="138">
        <f>$F$203</f>
        <v>0.36962820238752458</v>
      </c>
      <c r="M130" s="138">
        <f>$I$203</f>
        <v>0.26810599086468712</v>
      </c>
      <c r="N130" s="138">
        <f>$R$203</f>
        <v>0.27024452567298896</v>
      </c>
      <c r="O130" s="138">
        <f>$Q$203</f>
        <v>0.33182231315971239</v>
      </c>
      <c r="P130" s="138">
        <f>$O$203</f>
        <v>0.34771498375494458</v>
      </c>
      <c r="Q130" s="133"/>
      <c r="R130" s="133"/>
      <c r="S130" s="138">
        <v>0</v>
      </c>
      <c r="T130" s="138">
        <f>$F$203</f>
        <v>0.36962820238752458</v>
      </c>
      <c r="U130" s="138">
        <f>$I$203</f>
        <v>0.26810599086468712</v>
      </c>
      <c r="V130" s="138">
        <f>$R$203</f>
        <v>0.27024452567298896</v>
      </c>
      <c r="W130" s="138">
        <f>$S$203</f>
        <v>0.13403810838353239</v>
      </c>
      <c r="X130" s="138">
        <f>$O$203</f>
        <v>0.34771498375494458</v>
      </c>
      <c r="Y130" s="133"/>
      <c r="Z130" s="133"/>
      <c r="AA130" s="138">
        <v>0</v>
      </c>
      <c r="AB130" s="138">
        <f>$F$203</f>
        <v>0.36962820238752458</v>
      </c>
      <c r="AC130" s="138">
        <f>$I$203</f>
        <v>0.26810599086468712</v>
      </c>
      <c r="AD130" s="138">
        <f>$O$203</f>
        <v>0.34771498375494458</v>
      </c>
      <c r="AE130" s="138">
        <f>$S$203</f>
        <v>0.13403810838353239</v>
      </c>
      <c r="AF130" s="138">
        <f>$P$203</f>
        <v>0.29594963069652797</v>
      </c>
      <c r="AG130" s="133"/>
      <c r="AH130" s="133"/>
      <c r="AI130" s="138">
        <v>0</v>
      </c>
      <c r="AJ130" s="138">
        <f>$F$203</f>
        <v>0.36962820238752458</v>
      </c>
      <c r="AK130" s="138">
        <f>$I$203</f>
        <v>0.26810599086468712</v>
      </c>
      <c r="AL130" s="138">
        <f>$S$203</f>
        <v>0.13403810838353239</v>
      </c>
      <c r="AM130" s="138">
        <f>$P$203</f>
        <v>0.29594963069652797</v>
      </c>
      <c r="AN130" s="138">
        <f>$U$203</f>
        <v>0</v>
      </c>
      <c r="AO130" s="133"/>
      <c r="AP130" s="133"/>
      <c r="AQ130" s="138">
        <v>0</v>
      </c>
      <c r="AR130" s="138">
        <f>$F$203</f>
        <v>0.36962820238752458</v>
      </c>
      <c r="AS130" s="138">
        <f>$I$203</f>
        <v>0.26810599086468712</v>
      </c>
      <c r="AT130" s="138">
        <f>$S$203</f>
        <v>0.13403810838353239</v>
      </c>
      <c r="AU130" s="138">
        <f>$T$203</f>
        <v>0</v>
      </c>
      <c r="AV130" s="139">
        <f>$U$203</f>
        <v>0</v>
      </c>
    </row>
    <row r="131" spans="1:48" hidden="1" outlineLevel="1" x14ac:dyDescent="0.2">
      <c r="A131" s="132"/>
      <c r="B131" s="133"/>
      <c r="C131" s="138">
        <v>0</v>
      </c>
      <c r="D131" s="138">
        <f>$F$204</f>
        <v>0.30464558189920393</v>
      </c>
      <c r="E131" s="138">
        <f>$I$204</f>
        <v>0.1436314877910809</v>
      </c>
      <c r="F131" s="138">
        <f>$M$204</f>
        <v>0</v>
      </c>
      <c r="G131" s="138">
        <f>$O$204</f>
        <v>0</v>
      </c>
      <c r="H131" s="138">
        <f>$Q$204</f>
        <v>0</v>
      </c>
      <c r="I131" s="133"/>
      <c r="J131" s="133"/>
      <c r="K131" s="138">
        <v>0</v>
      </c>
      <c r="L131" s="138">
        <f>$F$204</f>
        <v>0.30464558189920393</v>
      </c>
      <c r="M131" s="138">
        <f>$I$204</f>
        <v>0.1436314877910809</v>
      </c>
      <c r="N131" s="138">
        <f>$R$204</f>
        <v>0</v>
      </c>
      <c r="O131" s="138">
        <f>$Q$204</f>
        <v>0</v>
      </c>
      <c r="P131" s="138">
        <f>$O$204</f>
        <v>0</v>
      </c>
      <c r="Q131" s="133"/>
      <c r="R131" s="133"/>
      <c r="S131" s="138">
        <v>0</v>
      </c>
      <c r="T131" s="138">
        <f>$F$204</f>
        <v>0.30464558189920393</v>
      </c>
      <c r="U131" s="138">
        <f>$I$204</f>
        <v>0.1436314877910809</v>
      </c>
      <c r="V131" s="138">
        <f>$R$204</f>
        <v>0</v>
      </c>
      <c r="W131" s="138">
        <f>$S$204</f>
        <v>0</v>
      </c>
      <c r="X131" s="138">
        <f>$O$204</f>
        <v>0</v>
      </c>
      <c r="Y131" s="133"/>
      <c r="Z131" s="133"/>
      <c r="AA131" s="138">
        <v>0</v>
      </c>
      <c r="AB131" s="138">
        <f>$F$204</f>
        <v>0.30464558189920393</v>
      </c>
      <c r="AC131" s="138">
        <f>$I$204</f>
        <v>0.1436314877910809</v>
      </c>
      <c r="AD131" s="138">
        <f>$O$204</f>
        <v>0</v>
      </c>
      <c r="AE131" s="138">
        <f>$S$204</f>
        <v>0</v>
      </c>
      <c r="AF131" s="138">
        <f>$P$204</f>
        <v>0</v>
      </c>
      <c r="AG131" s="133"/>
      <c r="AH131" s="133"/>
      <c r="AI131" s="138">
        <v>0</v>
      </c>
      <c r="AJ131" s="138">
        <f>$F$204</f>
        <v>0.30464558189920393</v>
      </c>
      <c r="AK131" s="138">
        <f>$I$204</f>
        <v>0.1436314877910809</v>
      </c>
      <c r="AL131" s="138">
        <f>$S$204</f>
        <v>0</v>
      </c>
      <c r="AM131" s="138">
        <f>$P$204</f>
        <v>0</v>
      </c>
      <c r="AN131" s="138">
        <f>$U$204</f>
        <v>0</v>
      </c>
      <c r="AO131" s="133"/>
      <c r="AP131" s="133"/>
      <c r="AQ131" s="138">
        <v>0</v>
      </c>
      <c r="AR131" s="138">
        <f>$F$204</f>
        <v>0.30464558189920393</v>
      </c>
      <c r="AS131" s="138">
        <f>$I$204</f>
        <v>0.1436314877910809</v>
      </c>
      <c r="AT131" s="138">
        <f>$S$204</f>
        <v>0</v>
      </c>
      <c r="AU131" s="138">
        <f>$T$204</f>
        <v>0</v>
      </c>
      <c r="AV131" s="139">
        <f>$U$204</f>
        <v>0</v>
      </c>
    </row>
    <row r="132" spans="1:48" hidden="1" outlineLevel="1" x14ac:dyDescent="0.2">
      <c r="A132" s="132"/>
      <c r="B132" s="133"/>
      <c r="C132" s="138">
        <v>0</v>
      </c>
      <c r="D132" s="138">
        <f>$F$205</f>
        <v>5.169745319076114E-2</v>
      </c>
      <c r="E132" s="138">
        <f>$I$205</f>
        <v>0.24373838184384281</v>
      </c>
      <c r="F132" s="138">
        <f>$M$205</f>
        <v>0.26953549681692768</v>
      </c>
      <c r="G132" s="138">
        <f>$O$205</f>
        <v>0.18063535716911364</v>
      </c>
      <c r="H132" s="138">
        <f>$Q$205</f>
        <v>0.17237923257436782</v>
      </c>
      <c r="I132" s="133"/>
      <c r="J132" s="133"/>
      <c r="K132" s="138">
        <v>0</v>
      </c>
      <c r="L132" s="138">
        <f>$F$205</f>
        <v>5.169745319076114E-2</v>
      </c>
      <c r="M132" s="138">
        <f>$I$205</f>
        <v>0.24373838184384281</v>
      </c>
      <c r="N132" s="138">
        <f>$R$205</f>
        <v>0.16378836637767183</v>
      </c>
      <c r="O132" s="138">
        <f>$Q$205</f>
        <v>0.17237923257436782</v>
      </c>
      <c r="P132" s="138">
        <f>$O$205</f>
        <v>0.18063535716911364</v>
      </c>
      <c r="Q132" s="133"/>
      <c r="R132" s="133"/>
      <c r="S132" s="138">
        <v>0</v>
      </c>
      <c r="T132" s="138">
        <f>$F$205</f>
        <v>5.169745319076114E-2</v>
      </c>
      <c r="U132" s="138">
        <f>$I$205</f>
        <v>0.24373838184384281</v>
      </c>
      <c r="V132" s="138">
        <f>$R$205</f>
        <v>0.16378836637767183</v>
      </c>
      <c r="W132" s="138">
        <f>$S$205</f>
        <v>8.1237104617828668E-2</v>
      </c>
      <c r="X132" s="138">
        <f>$O$205</f>
        <v>0.18063535716911364</v>
      </c>
      <c r="Y132" s="133"/>
      <c r="Z132" s="133"/>
      <c r="AA132" s="138">
        <v>0</v>
      </c>
      <c r="AB132" s="138">
        <f>$F$205</f>
        <v>5.169745319076114E-2</v>
      </c>
      <c r="AC132" s="138">
        <f>$I$205</f>
        <v>0.24373838184384281</v>
      </c>
      <c r="AD132" s="138">
        <f>$O$205</f>
        <v>0.18063535716911364</v>
      </c>
      <c r="AE132" s="138">
        <f>$S$205</f>
        <v>8.1237104617828668E-2</v>
      </c>
      <c r="AF132" s="138">
        <f>$P$205</f>
        <v>0.17936757986548366</v>
      </c>
      <c r="AG132" s="133"/>
      <c r="AH132" s="133"/>
      <c r="AI132" s="138">
        <v>0</v>
      </c>
      <c r="AJ132" s="138">
        <f>$F$205</f>
        <v>5.169745319076114E-2</v>
      </c>
      <c r="AK132" s="138">
        <f>$I$205</f>
        <v>0.24373838184384281</v>
      </c>
      <c r="AL132" s="138">
        <f>$S$205</f>
        <v>8.1237104617828668E-2</v>
      </c>
      <c r="AM132" s="138">
        <f>$P$205</f>
        <v>0.17936757986548366</v>
      </c>
      <c r="AN132" s="138">
        <f>$U$205</f>
        <v>0</v>
      </c>
      <c r="AO132" s="133"/>
      <c r="AP132" s="133"/>
      <c r="AQ132" s="138">
        <v>0</v>
      </c>
      <c r="AR132" s="138">
        <f>$F$205</f>
        <v>5.169745319076114E-2</v>
      </c>
      <c r="AS132" s="138">
        <f>$I$205</f>
        <v>0.24373838184384281</v>
      </c>
      <c r="AT132" s="138">
        <f>$S$205</f>
        <v>8.1237104617828668E-2</v>
      </c>
      <c r="AU132" s="138">
        <f>$T$205</f>
        <v>0</v>
      </c>
      <c r="AV132" s="139">
        <f>$U$205</f>
        <v>0</v>
      </c>
    </row>
    <row r="133" spans="1:48" hidden="1" outlineLevel="1" x14ac:dyDescent="0.2">
      <c r="A133" s="132"/>
      <c r="B133" s="133"/>
      <c r="C133" s="138">
        <v>0</v>
      </c>
      <c r="D133" s="138">
        <f>$F$206</f>
        <v>0</v>
      </c>
      <c r="E133" s="138">
        <f>$I$206</f>
        <v>0</v>
      </c>
      <c r="F133" s="138">
        <f>$M$206</f>
        <v>0</v>
      </c>
      <c r="G133" s="138">
        <f>$O$206</f>
        <v>8.8657613334625476E-2</v>
      </c>
      <c r="H133" s="138">
        <f>$Q$206</f>
        <v>0</v>
      </c>
      <c r="I133" s="133"/>
      <c r="J133" s="133"/>
      <c r="K133" s="138">
        <v>0</v>
      </c>
      <c r="L133" s="138">
        <f>$F$206</f>
        <v>0</v>
      </c>
      <c r="M133" s="138">
        <f>$I$206</f>
        <v>0</v>
      </c>
      <c r="N133" s="138">
        <f>$R$206</f>
        <v>0</v>
      </c>
      <c r="O133" s="138">
        <f>$Q$206</f>
        <v>0</v>
      </c>
      <c r="P133" s="138">
        <f>$O$206</f>
        <v>8.8657613334625476E-2</v>
      </c>
      <c r="Q133" s="133"/>
      <c r="R133" s="133"/>
      <c r="S133" s="138">
        <v>0</v>
      </c>
      <c r="T133" s="138">
        <f>$F$206</f>
        <v>0</v>
      </c>
      <c r="U133" s="138">
        <f>$I$206</f>
        <v>0</v>
      </c>
      <c r="V133" s="138">
        <f>$R$206</f>
        <v>0</v>
      </c>
      <c r="W133" s="138">
        <f>$S$206</f>
        <v>0</v>
      </c>
      <c r="X133" s="138">
        <f>$O$206</f>
        <v>8.8657613334625476E-2</v>
      </c>
      <c r="Y133" s="133"/>
      <c r="Z133" s="133"/>
      <c r="AA133" s="138">
        <v>0</v>
      </c>
      <c r="AB133" s="138">
        <f>$F$206</f>
        <v>0</v>
      </c>
      <c r="AC133" s="138">
        <f>$I$206</f>
        <v>0</v>
      </c>
      <c r="AD133" s="138">
        <f>$O$206</f>
        <v>8.8657613334625476E-2</v>
      </c>
      <c r="AE133" s="138">
        <f>$S$206</f>
        <v>0</v>
      </c>
      <c r="AF133" s="138">
        <f>$P$206</f>
        <v>0.17607075148187762</v>
      </c>
      <c r="AG133" s="133"/>
      <c r="AH133" s="133"/>
      <c r="AI133" s="138">
        <v>0</v>
      </c>
      <c r="AJ133" s="138">
        <f>$F$206</f>
        <v>0</v>
      </c>
      <c r="AK133" s="138">
        <f>$I$206</f>
        <v>0</v>
      </c>
      <c r="AL133" s="138">
        <f>$S$206</f>
        <v>0</v>
      </c>
      <c r="AM133" s="138">
        <f>$P$206</f>
        <v>0.17607075148187762</v>
      </c>
      <c r="AN133" s="138">
        <f>$U$206</f>
        <v>1</v>
      </c>
      <c r="AO133" s="133"/>
      <c r="AP133" s="133"/>
      <c r="AQ133" s="138">
        <v>0</v>
      </c>
      <c r="AR133" s="138">
        <f>$F$206</f>
        <v>0</v>
      </c>
      <c r="AS133" s="138">
        <f>$I$206</f>
        <v>0</v>
      </c>
      <c r="AT133" s="138">
        <f>$S$206</f>
        <v>0</v>
      </c>
      <c r="AU133" s="138">
        <f>$T$206</f>
        <v>0</v>
      </c>
      <c r="AV133" s="139">
        <f>$U$206</f>
        <v>1</v>
      </c>
    </row>
    <row r="134" spans="1:48" hidden="1" outlineLevel="1" x14ac:dyDescent="0.2">
      <c r="A134" s="132"/>
      <c r="B134" s="133"/>
      <c r="C134" s="138">
        <v>0</v>
      </c>
      <c r="D134" s="138">
        <f>$F$207</f>
        <v>0</v>
      </c>
      <c r="E134" s="138">
        <f>$I$207</f>
        <v>0</v>
      </c>
      <c r="F134" s="138">
        <f>$M$207</f>
        <v>0</v>
      </c>
      <c r="G134" s="138">
        <f>$O$207</f>
        <v>0</v>
      </c>
      <c r="H134" s="138">
        <f>$Q$207</f>
        <v>0.1150828284510447</v>
      </c>
      <c r="I134" s="133"/>
      <c r="J134" s="133"/>
      <c r="K134" s="138">
        <v>0</v>
      </c>
      <c r="L134" s="138">
        <f>$F$207</f>
        <v>0</v>
      </c>
      <c r="M134" s="138">
        <f>$I$207</f>
        <v>0</v>
      </c>
      <c r="N134" s="138">
        <f>$R$207</f>
        <v>0.21869488787736116</v>
      </c>
      <c r="O134" s="138">
        <f>$Q$207</f>
        <v>0.1150828284510447</v>
      </c>
      <c r="P134" s="138">
        <f>$O$207</f>
        <v>0</v>
      </c>
      <c r="Q134" s="133"/>
      <c r="R134" s="133"/>
      <c r="S134" s="138">
        <v>0</v>
      </c>
      <c r="T134" s="138">
        <f>$F$207</f>
        <v>0</v>
      </c>
      <c r="U134" s="138">
        <f>$I$207</f>
        <v>0</v>
      </c>
      <c r="V134" s="138">
        <f>$R$207</f>
        <v>0.21869488787736116</v>
      </c>
      <c r="W134" s="138">
        <f>$S$207</f>
        <v>0.32541028179458237</v>
      </c>
      <c r="X134" s="138">
        <f>$O$207</f>
        <v>0</v>
      </c>
      <c r="Y134" s="133"/>
      <c r="Z134" s="133"/>
      <c r="AA134" s="138">
        <v>0</v>
      </c>
      <c r="AB134" s="138">
        <f>$F$207</f>
        <v>0</v>
      </c>
      <c r="AC134" s="138">
        <f>$I$207</f>
        <v>0</v>
      </c>
      <c r="AD134" s="138">
        <f>$O$207</f>
        <v>0</v>
      </c>
      <c r="AE134" s="138">
        <f>$S$207</f>
        <v>0.32541028179458237</v>
      </c>
      <c r="AF134" s="138">
        <f>$P$207</f>
        <v>0</v>
      </c>
      <c r="AG134" s="133"/>
      <c r="AH134" s="133"/>
      <c r="AI134" s="138">
        <v>0</v>
      </c>
      <c r="AJ134" s="138">
        <f>$F$207</f>
        <v>0</v>
      </c>
      <c r="AK134" s="138">
        <f>$I$207</f>
        <v>0</v>
      </c>
      <c r="AL134" s="138">
        <f>$S$207</f>
        <v>0.32541028179458237</v>
      </c>
      <c r="AM134" s="138">
        <f>$P$207</f>
        <v>0</v>
      </c>
      <c r="AN134" s="138">
        <f>$U$207</f>
        <v>0</v>
      </c>
      <c r="AO134" s="133"/>
      <c r="AP134" s="133"/>
      <c r="AQ134" s="138">
        <v>0</v>
      </c>
      <c r="AR134" s="138">
        <f>$F$207</f>
        <v>0</v>
      </c>
      <c r="AS134" s="138">
        <f>$I$207</f>
        <v>0</v>
      </c>
      <c r="AT134" s="138">
        <f>$S$207</f>
        <v>0.32541028179458237</v>
      </c>
      <c r="AU134" s="138">
        <f>$T$207</f>
        <v>0.79072946520505982</v>
      </c>
      <c r="AV134" s="139">
        <f>$U$207</f>
        <v>0</v>
      </c>
    </row>
    <row r="135" spans="1:48" hidden="1" outlineLevel="1" x14ac:dyDescent="0.2">
      <c r="A135" s="132"/>
      <c r="B135" s="133"/>
      <c r="C135" s="138">
        <v>1</v>
      </c>
      <c r="D135" s="138">
        <f>$F$208</f>
        <v>0.27402876252251041</v>
      </c>
      <c r="E135" s="138">
        <f>$I$208</f>
        <v>0.34452413950038913</v>
      </c>
      <c r="F135" s="138">
        <f>$M$208</f>
        <v>0.2857412661164993</v>
      </c>
      <c r="G135" s="138">
        <f>$O$208</f>
        <v>0.3829920457413164</v>
      </c>
      <c r="H135" s="138">
        <f>$Q$208</f>
        <v>0.38071562581487517</v>
      </c>
      <c r="I135" s="133"/>
      <c r="J135" s="133"/>
      <c r="K135" s="138">
        <v>1</v>
      </c>
      <c r="L135" s="138">
        <f>$F$208</f>
        <v>0.27402876252251041</v>
      </c>
      <c r="M135" s="138">
        <f>$I$208</f>
        <v>0.34452413950038913</v>
      </c>
      <c r="N135" s="138">
        <f>$R$208</f>
        <v>0.34727222007197794</v>
      </c>
      <c r="O135" s="138">
        <f>$Q$208</f>
        <v>0.38071562581487517</v>
      </c>
      <c r="P135" s="138">
        <f>$O$208</f>
        <v>0.3829920457413164</v>
      </c>
      <c r="Q135" s="133"/>
      <c r="R135" s="133"/>
      <c r="S135" s="138">
        <v>1</v>
      </c>
      <c r="T135" s="138">
        <f>$F$208</f>
        <v>0.27402876252251041</v>
      </c>
      <c r="U135" s="138">
        <f>$I$208</f>
        <v>0.34452413950038913</v>
      </c>
      <c r="V135" s="138">
        <f>$R$208</f>
        <v>0.34727222007197794</v>
      </c>
      <c r="W135" s="138">
        <f>$S$208</f>
        <v>0.45931450520405653</v>
      </c>
      <c r="X135" s="138">
        <f>$O$208</f>
        <v>0.3829920457413164</v>
      </c>
      <c r="Y135" s="133"/>
      <c r="Z135" s="133"/>
      <c r="AA135" s="138">
        <v>1</v>
      </c>
      <c r="AB135" s="138">
        <f>$F$208</f>
        <v>0.27402876252251041</v>
      </c>
      <c r="AC135" s="138">
        <f>$I$208</f>
        <v>0.34452413950038913</v>
      </c>
      <c r="AD135" s="138">
        <f>$O$208</f>
        <v>0.3829920457413164</v>
      </c>
      <c r="AE135" s="138">
        <f>$S$208</f>
        <v>0.45931450520405653</v>
      </c>
      <c r="AF135" s="138">
        <f>$P$208</f>
        <v>0.34861203795611073</v>
      </c>
      <c r="AG135" s="133"/>
      <c r="AH135" s="133"/>
      <c r="AI135" s="138">
        <v>1</v>
      </c>
      <c r="AJ135" s="138">
        <f>$F$208</f>
        <v>0.27402876252251041</v>
      </c>
      <c r="AK135" s="138">
        <f>$I$208</f>
        <v>0.34452413950038913</v>
      </c>
      <c r="AL135" s="138">
        <f>$S$208</f>
        <v>0.45931450520405653</v>
      </c>
      <c r="AM135" s="138">
        <f>$P$208</f>
        <v>0.34861203795611073</v>
      </c>
      <c r="AN135" s="138">
        <f>$U$208</f>
        <v>0</v>
      </c>
      <c r="AO135" s="133"/>
      <c r="AP135" s="133"/>
      <c r="AQ135" s="138">
        <v>1</v>
      </c>
      <c r="AR135" s="138">
        <f>$F$208</f>
        <v>0.27402876252251041</v>
      </c>
      <c r="AS135" s="138">
        <f>$I$208</f>
        <v>0.34452413950038913</v>
      </c>
      <c r="AT135" s="138">
        <f>$S$208</f>
        <v>0.45931450520405653</v>
      </c>
      <c r="AU135" s="138">
        <f>$T$208</f>
        <v>0.20927053479494012</v>
      </c>
      <c r="AV135" s="139">
        <f>$U$208</f>
        <v>0</v>
      </c>
    </row>
    <row r="136" spans="1:48" hidden="1" outlineLevel="1" x14ac:dyDescent="0.2">
      <c r="A136" s="132"/>
      <c r="B136" s="133"/>
      <c r="C136" s="140">
        <f t="shared" ref="C136:H136" si="78">SUM(C130:C135)</f>
        <v>1</v>
      </c>
      <c r="D136" s="140">
        <f t="shared" si="78"/>
        <v>1</v>
      </c>
      <c r="E136" s="140">
        <f t="shared" si="78"/>
        <v>1</v>
      </c>
      <c r="F136" s="140">
        <f t="shared" si="78"/>
        <v>0.99999999999999989</v>
      </c>
      <c r="G136" s="140">
        <f t="shared" si="78"/>
        <v>1</v>
      </c>
      <c r="H136" s="140">
        <f t="shared" si="78"/>
        <v>1</v>
      </c>
      <c r="I136" s="133"/>
      <c r="J136" s="133"/>
      <c r="K136" s="140">
        <f t="shared" ref="K136:P136" si="79">SUM(K130:K135)</f>
        <v>1</v>
      </c>
      <c r="L136" s="140">
        <f t="shared" si="79"/>
        <v>1</v>
      </c>
      <c r="M136" s="140">
        <f t="shared" si="79"/>
        <v>1</v>
      </c>
      <c r="N136" s="140">
        <f t="shared" si="79"/>
        <v>0.99999999999999978</v>
      </c>
      <c r="O136" s="140">
        <f t="shared" si="79"/>
        <v>1</v>
      </c>
      <c r="P136" s="140">
        <f t="shared" si="79"/>
        <v>1</v>
      </c>
      <c r="Q136" s="133"/>
      <c r="R136" s="133"/>
      <c r="S136" s="140">
        <f t="shared" ref="S136:X136" si="80">SUM(S130:S135)</f>
        <v>1</v>
      </c>
      <c r="T136" s="140">
        <f t="shared" si="80"/>
        <v>1</v>
      </c>
      <c r="U136" s="140">
        <f t="shared" si="80"/>
        <v>1</v>
      </c>
      <c r="V136" s="140">
        <f t="shared" si="80"/>
        <v>0.99999999999999978</v>
      </c>
      <c r="W136" s="140">
        <f t="shared" si="80"/>
        <v>1</v>
      </c>
      <c r="X136" s="140">
        <f t="shared" si="80"/>
        <v>1</v>
      </c>
      <c r="Y136" s="133"/>
      <c r="Z136" s="133"/>
      <c r="AA136" s="140">
        <f t="shared" ref="AA136:AF136" si="81">SUM(AA130:AA135)</f>
        <v>1</v>
      </c>
      <c r="AB136" s="140">
        <f t="shared" si="81"/>
        <v>1</v>
      </c>
      <c r="AC136" s="140">
        <f t="shared" si="81"/>
        <v>1</v>
      </c>
      <c r="AD136" s="140">
        <f t="shared" si="81"/>
        <v>1</v>
      </c>
      <c r="AE136" s="140">
        <f t="shared" si="81"/>
        <v>1</v>
      </c>
      <c r="AF136" s="140">
        <f t="shared" si="81"/>
        <v>0.99999999999999989</v>
      </c>
      <c r="AG136" s="133"/>
      <c r="AH136" s="133"/>
      <c r="AI136" s="140">
        <f t="shared" ref="AI136:AN136" si="82">SUM(AI130:AI135)</f>
        <v>1</v>
      </c>
      <c r="AJ136" s="140">
        <f t="shared" si="82"/>
        <v>1</v>
      </c>
      <c r="AK136" s="140">
        <f t="shared" si="82"/>
        <v>1</v>
      </c>
      <c r="AL136" s="140">
        <f t="shared" si="82"/>
        <v>1</v>
      </c>
      <c r="AM136" s="140">
        <f t="shared" si="82"/>
        <v>0.99999999999999989</v>
      </c>
      <c r="AN136" s="140">
        <f t="shared" si="82"/>
        <v>1</v>
      </c>
      <c r="AO136" s="133"/>
      <c r="AP136" s="133"/>
      <c r="AQ136" s="140">
        <f t="shared" ref="AQ136:AV136" si="83">SUM(AQ130:AQ135)</f>
        <v>1</v>
      </c>
      <c r="AR136" s="140">
        <f t="shared" si="83"/>
        <v>1</v>
      </c>
      <c r="AS136" s="140">
        <f t="shared" si="83"/>
        <v>1</v>
      </c>
      <c r="AT136" s="140">
        <f t="shared" si="83"/>
        <v>1</v>
      </c>
      <c r="AU136" s="140">
        <f t="shared" si="83"/>
        <v>1</v>
      </c>
      <c r="AV136" s="141">
        <f t="shared" si="83"/>
        <v>1</v>
      </c>
    </row>
    <row r="137" spans="1:48" hidden="1" outlineLevel="1" x14ac:dyDescent="0.2">
      <c r="A137" s="132"/>
      <c r="B137" s="142">
        <f t="array" ref="B137:B142">MMULT(C137:H142,$V$19:$V$24)</f>
        <v>14.625428674340213</v>
      </c>
      <c r="C137" s="138">
        <f t="array" ref="C137:H142">MINVERSE(C130:H135)</f>
        <v>-6.4251480988775977E-2</v>
      </c>
      <c r="D137" s="138">
        <v>-0.6596334816249837</v>
      </c>
      <c r="E137" s="138">
        <v>-0.95411232487690056</v>
      </c>
      <c r="F137" s="138">
        <v>-2.1239509547674436</v>
      </c>
      <c r="G137" s="138">
        <v>-1.6937922280919278</v>
      </c>
      <c r="H137" s="138">
        <v>1</v>
      </c>
      <c r="I137" s="133"/>
      <c r="J137" s="142">
        <f t="array" ref="J137:J142">MMULT(K137:P142,$V$19:$V$24)</f>
        <v>6.5854919209095613</v>
      </c>
      <c r="K137" s="138">
        <f t="array" ref="K137:P142">MINVERSE(K130:P135)</f>
        <v>-0.74221538383586338</v>
      </c>
      <c r="L137" s="138">
        <v>0.11372991062499693</v>
      </c>
      <c r="M137" s="138">
        <v>-0.6641011712106144</v>
      </c>
      <c r="N137" s="138">
        <v>-5.5860779055835863E-2</v>
      </c>
      <c r="O137" s="138">
        <v>-0.17339467852234192</v>
      </c>
      <c r="P137" s="138">
        <v>1</v>
      </c>
      <c r="Q137" s="133"/>
      <c r="R137" s="142">
        <f t="array" ref="R137:R142">MMULT(S137:X142,$V$19:$V$24)</f>
        <v>28.299127184616765</v>
      </c>
      <c r="S137" s="138">
        <f t="array" ref="S137:X142">MINVERSE(S130:X135)</f>
        <v>0.51401184791021071</v>
      </c>
      <c r="T137" s="138">
        <v>-1.3192669632499678</v>
      </c>
      <c r="U137" s="138">
        <v>-1.2014747794746166</v>
      </c>
      <c r="V137" s="138">
        <v>-3.8879102222861688</v>
      </c>
      <c r="W137" s="138">
        <v>-1.3232751781968188</v>
      </c>
      <c r="X137" s="138">
        <v>1</v>
      </c>
      <c r="Y137" s="133"/>
      <c r="Z137" s="142">
        <f t="array" ref="Z137:Z142">MMULT(AA137:AF142,$V$19:$V$24)</f>
        <v>3.4516503590445922</v>
      </c>
      <c r="AA137" s="138">
        <f t="array" ref="AA137:AF142">MINVERSE(AA130:AF135)</f>
        <v>-0.74221538383586361</v>
      </c>
      <c r="AB137" s="138">
        <v>0.11372991062499715</v>
      </c>
      <c r="AC137" s="138">
        <v>-0.6641011712106144</v>
      </c>
      <c r="AD137" s="138">
        <v>-5.5860779055835863E-2</v>
      </c>
      <c r="AE137" s="138">
        <v>-0.93998167830532675</v>
      </c>
      <c r="AF137" s="138">
        <v>1</v>
      </c>
      <c r="AG137" s="133"/>
      <c r="AH137" s="142">
        <f t="array" ref="AH137:AH142">MMULT(AI137:AN142,$V$19:$V$24)</f>
        <v>2.5642404724170405</v>
      </c>
      <c r="AI137" s="138">
        <f t="array" ref="AI137:AN142">MINVERSE(AI130:AN135)</f>
        <v>-0.78708064211250861</v>
      </c>
      <c r="AJ137" s="138">
        <v>0.16490837040624617</v>
      </c>
      <c r="AK137" s="138">
        <v>-0.64490925662975707</v>
      </c>
      <c r="AL137" s="138">
        <v>0</v>
      </c>
      <c r="AM137" s="138">
        <v>-0.92629262473777318</v>
      </c>
      <c r="AN137" s="138">
        <v>1</v>
      </c>
      <c r="AO137" s="133"/>
      <c r="AP137" s="142">
        <f t="array" ref="AP137:AP142">MMULT(AQ137:AV142,$V$19:$V$24)</f>
        <v>-40.327237381249148</v>
      </c>
      <c r="AQ137" s="138">
        <f t="array" ref="AQ137:AV142">MINVERSE(AQ130:AV135)</f>
        <v>-2.9555681254837065</v>
      </c>
      <c r="AR137" s="138">
        <v>2.6385339264999343</v>
      </c>
      <c r="AS137" s="138">
        <v>0.28269994811167498</v>
      </c>
      <c r="AT137" s="138">
        <v>0</v>
      </c>
      <c r="AU137" s="138">
        <v>-0.26465503563936371</v>
      </c>
      <c r="AV137" s="139">
        <v>1</v>
      </c>
    </row>
    <row r="138" spans="1:48" hidden="1" outlineLevel="1" x14ac:dyDescent="0.2">
      <c r="A138" s="132"/>
      <c r="B138" s="142">
        <v>79.450956261334824</v>
      </c>
      <c r="C138" s="138">
        <v>1.7585238242143886</v>
      </c>
      <c r="D138" s="138">
        <v>1.6412514400600491</v>
      </c>
      <c r="E138" s="138">
        <v>-2.9014968966944492</v>
      </c>
      <c r="F138" s="138">
        <v>-0.98527527895674727</v>
      </c>
      <c r="G138" s="138">
        <v>-0.72434468156683773</v>
      </c>
      <c r="H138" s="138">
        <v>0</v>
      </c>
      <c r="I138" s="133"/>
      <c r="J138" s="142">
        <v>72.978951483479136</v>
      </c>
      <c r="K138" s="138">
        <v>1.2127750511823381</v>
      </c>
      <c r="L138" s="138">
        <v>2.2637950897379975</v>
      </c>
      <c r="M138" s="138">
        <v>-2.6680431233971946</v>
      </c>
      <c r="N138" s="138">
        <v>0.67950019238396364</v>
      </c>
      <c r="O138" s="138">
        <v>0.49954805625299131</v>
      </c>
      <c r="P138" s="138">
        <v>0</v>
      </c>
      <c r="Q138" s="133"/>
      <c r="R138" s="142">
        <v>82.412109357920869</v>
      </c>
      <c r="S138" s="138">
        <v>1.7585238242143888</v>
      </c>
      <c r="T138" s="138">
        <v>1.6412514400600473</v>
      </c>
      <c r="U138" s="138">
        <v>-2.9014968966944492</v>
      </c>
      <c r="V138" s="138">
        <v>-0.98527527895674971</v>
      </c>
      <c r="W138" s="138">
        <v>0</v>
      </c>
      <c r="X138" s="138">
        <v>0</v>
      </c>
      <c r="Y138" s="133"/>
      <c r="Z138" s="142">
        <v>71.617501783899314</v>
      </c>
      <c r="AA138" s="138">
        <v>1.2127750511823372</v>
      </c>
      <c r="AB138" s="138">
        <v>2.2637950897379988</v>
      </c>
      <c r="AC138" s="138">
        <v>-2.6680431233971946</v>
      </c>
      <c r="AD138" s="138">
        <v>0.67950019238396475</v>
      </c>
      <c r="AE138" s="138">
        <v>0.16651601875099756</v>
      </c>
      <c r="AF138" s="138">
        <v>0</v>
      </c>
      <c r="AG138" s="133"/>
      <c r="AH138" s="142">
        <v>82.412109357920869</v>
      </c>
      <c r="AI138" s="138">
        <v>1.7585238242143886</v>
      </c>
      <c r="AJ138" s="138">
        <v>1.6412514400600484</v>
      </c>
      <c r="AK138" s="138">
        <v>-2.9014968966944492</v>
      </c>
      <c r="AL138" s="138">
        <v>0</v>
      </c>
      <c r="AM138" s="138">
        <v>0</v>
      </c>
      <c r="AN138" s="138">
        <v>0</v>
      </c>
      <c r="AO138" s="133"/>
      <c r="AP138" s="142">
        <v>82.412109357920912</v>
      </c>
      <c r="AQ138" s="138">
        <v>1.7585238242143897</v>
      </c>
      <c r="AR138" s="138">
        <v>1.6412514400600482</v>
      </c>
      <c r="AS138" s="138">
        <v>-2.9014968966944492</v>
      </c>
      <c r="AT138" s="138">
        <v>0</v>
      </c>
      <c r="AU138" s="138">
        <v>0</v>
      </c>
      <c r="AV138" s="139">
        <v>0</v>
      </c>
    </row>
    <row r="139" spans="1:48" hidden="1" outlineLevel="1" x14ac:dyDescent="0.2">
      <c r="A139" s="132"/>
      <c r="B139" s="142">
        <v>-68.991738538273353</v>
      </c>
      <c r="C139" s="138">
        <v>-3.7298681643585478</v>
      </c>
      <c r="D139" s="138">
        <v>3.4811308278535331</v>
      </c>
      <c r="E139" s="138">
        <v>6.1541394861684653</v>
      </c>
      <c r="F139" s="138">
        <v>2.0897907924290036</v>
      </c>
      <c r="G139" s="138">
        <v>1.5363511887622894</v>
      </c>
      <c r="H139" s="138">
        <v>0</v>
      </c>
      <c r="I139" s="133"/>
      <c r="J139" s="142">
        <v>-55.264472380088179</v>
      </c>
      <c r="K139" s="138">
        <v>-2.5723228719714117</v>
      </c>
      <c r="L139" s="138">
        <v>2.1607018931504682</v>
      </c>
      <c r="M139" s="138">
        <v>5.6589788378560604</v>
      </c>
      <c r="N139" s="138">
        <v>-1.441235029261382</v>
      </c>
      <c r="O139" s="138">
        <v>-1.0595525439739926</v>
      </c>
      <c r="P139" s="138">
        <v>0</v>
      </c>
      <c r="Q139" s="133"/>
      <c r="R139" s="142">
        <v>-75.272410151967421</v>
      </c>
      <c r="S139" s="138">
        <v>-3.7298681643585474</v>
      </c>
      <c r="T139" s="138">
        <v>3.4811308278535322</v>
      </c>
      <c r="U139" s="138">
        <v>6.1541394861684662</v>
      </c>
      <c r="V139" s="138">
        <v>2.0897907924289982</v>
      </c>
      <c r="W139" s="138">
        <v>-8.0747341459897986E-16</v>
      </c>
      <c r="X139" s="138">
        <v>0</v>
      </c>
      <c r="Y139" s="133"/>
      <c r="Z139" s="142">
        <v>-52.376807270343804</v>
      </c>
      <c r="AA139" s="138">
        <v>-2.5723228719714122</v>
      </c>
      <c r="AB139" s="138">
        <v>2.1607018931504687</v>
      </c>
      <c r="AC139" s="138">
        <v>5.6589788378560604</v>
      </c>
      <c r="AD139" s="138">
        <v>-1.4412350292613809</v>
      </c>
      <c r="AE139" s="138">
        <v>-0.35318418132466411</v>
      </c>
      <c r="AF139" s="138">
        <v>0</v>
      </c>
      <c r="AG139" s="133"/>
      <c r="AH139" s="142">
        <v>-75.272410151967463</v>
      </c>
      <c r="AI139" s="138">
        <v>-3.7298681643585483</v>
      </c>
      <c r="AJ139" s="138">
        <v>3.4811308278535331</v>
      </c>
      <c r="AK139" s="138">
        <v>6.1541394861684662</v>
      </c>
      <c r="AL139" s="138">
        <v>0</v>
      </c>
      <c r="AM139" s="138">
        <v>1.3457890243316333E-16</v>
      </c>
      <c r="AN139" s="138">
        <v>0</v>
      </c>
      <c r="AO139" s="133"/>
      <c r="AP139" s="142">
        <v>-75.272410151967421</v>
      </c>
      <c r="AQ139" s="138">
        <v>-3.7298681643585474</v>
      </c>
      <c r="AR139" s="138">
        <v>3.4811308278535327</v>
      </c>
      <c r="AS139" s="138">
        <v>6.1541394861684653</v>
      </c>
      <c r="AT139" s="138">
        <v>0</v>
      </c>
      <c r="AU139" s="138">
        <v>0</v>
      </c>
      <c r="AV139" s="139">
        <v>0</v>
      </c>
    </row>
    <row r="140" spans="1:48" hidden="1" outlineLevel="1" x14ac:dyDescent="0.2">
      <c r="A140" s="132"/>
      <c r="B140" s="142">
        <v>35.998964411519466</v>
      </c>
      <c r="C140" s="138">
        <v>3.0355958211329348</v>
      </c>
      <c r="D140" s="138">
        <v>-3.4627487862885986</v>
      </c>
      <c r="E140" s="138">
        <v>-1.2985302645971153</v>
      </c>
      <c r="F140" s="138">
        <v>-9.2599117279732113</v>
      </c>
      <c r="G140" s="138">
        <v>-6.8076079398214819</v>
      </c>
      <c r="H140" s="138">
        <v>0</v>
      </c>
      <c r="I140" s="133"/>
      <c r="J140" s="142">
        <v>-40.855913207177686</v>
      </c>
      <c r="K140" s="138">
        <v>-3.4451557545525424</v>
      </c>
      <c r="L140" s="138">
        <v>3.9299398242021666</v>
      </c>
      <c r="M140" s="138">
        <v>1.4737268322723382</v>
      </c>
      <c r="N140" s="138">
        <v>10.509250920094226</v>
      </c>
      <c r="O140" s="138">
        <v>7.7260844494971037</v>
      </c>
      <c r="P140" s="138">
        <v>0</v>
      </c>
      <c r="Q140" s="133"/>
      <c r="R140" s="142">
        <v>148.21160590885003</v>
      </c>
      <c r="S140" s="138">
        <v>7.4932137661517846</v>
      </c>
      <c r="T140" s="138">
        <v>-8.5476191176397158</v>
      </c>
      <c r="U140" s="138">
        <v>-3.2053558601923378</v>
      </c>
      <c r="V140" s="138">
        <v>-22.857620751204951</v>
      </c>
      <c r="W140" s="138">
        <v>-2.2862902962797547</v>
      </c>
      <c r="X140" s="138">
        <v>0</v>
      </c>
      <c r="Y140" s="133"/>
      <c r="Z140" s="142">
        <v>123.57574475259752</v>
      </c>
      <c r="AA140" s="138">
        <v>6.2476853014608009</v>
      </c>
      <c r="AB140" s="138">
        <v>-7.1268264846511338</v>
      </c>
      <c r="AC140" s="138">
        <v>-2.6725588403918565</v>
      </c>
      <c r="AD140" s="138">
        <v>-7.7788601167368254</v>
      </c>
      <c r="AE140" s="138">
        <v>-1.9062611483824243</v>
      </c>
      <c r="AF140" s="138">
        <v>0</v>
      </c>
      <c r="AG140" s="133"/>
      <c r="AH140" s="142">
        <v>12.562738362935917</v>
      </c>
      <c r="AI140" s="138">
        <v>0</v>
      </c>
      <c r="AJ140" s="138">
        <v>0</v>
      </c>
      <c r="AK140" s="138">
        <v>0</v>
      </c>
      <c r="AL140" s="138">
        <v>0</v>
      </c>
      <c r="AM140" s="138">
        <v>3.07304364965105</v>
      </c>
      <c r="AN140" s="138">
        <v>0</v>
      </c>
      <c r="AO140" s="133"/>
      <c r="AP140" s="142">
        <v>211.77660682220358</v>
      </c>
      <c r="AQ140" s="138">
        <v>10.07176254783567</v>
      </c>
      <c r="AR140" s="138">
        <v>-11.489007625952203</v>
      </c>
      <c r="AS140" s="138">
        <v>-4.3083761003858747</v>
      </c>
      <c r="AT140" s="138">
        <v>0</v>
      </c>
      <c r="AU140" s="138">
        <v>0</v>
      </c>
      <c r="AV140" s="139">
        <v>0</v>
      </c>
    </row>
    <row r="141" spans="1:48" hidden="1" outlineLevel="1" x14ac:dyDescent="0.2">
      <c r="A141" s="132"/>
      <c r="B141" s="142">
        <v>0</v>
      </c>
      <c r="C141" s="138">
        <v>0</v>
      </c>
      <c r="D141" s="138">
        <v>0</v>
      </c>
      <c r="E141" s="138">
        <v>0</v>
      </c>
      <c r="F141" s="138">
        <v>11.279347169268398</v>
      </c>
      <c r="G141" s="138">
        <v>0</v>
      </c>
      <c r="H141" s="138">
        <v>0</v>
      </c>
      <c r="I141" s="133"/>
      <c r="J141" s="142">
        <v>113.16217861559944</v>
      </c>
      <c r="K141" s="138">
        <v>6.5469189591774786</v>
      </c>
      <c r="L141" s="138">
        <v>-7.4681667177156283</v>
      </c>
      <c r="M141" s="138">
        <v>-2.8005613755205885</v>
      </c>
      <c r="N141" s="138">
        <v>-19.971002473429369</v>
      </c>
      <c r="O141" s="138">
        <v>-5.9926852832537598</v>
      </c>
      <c r="P141" s="138">
        <v>0</v>
      </c>
      <c r="Q141" s="133"/>
      <c r="R141" s="142">
        <v>-87.044195866697976</v>
      </c>
      <c r="S141" s="138">
        <v>-5.0358812739178367</v>
      </c>
      <c r="T141" s="138">
        <v>5.7445038129761032</v>
      </c>
      <c r="U141" s="138">
        <v>2.1541880501929378</v>
      </c>
      <c r="V141" s="138">
        <v>15.361668290750471</v>
      </c>
      <c r="W141" s="138">
        <v>4.6095654744765744</v>
      </c>
      <c r="X141" s="138">
        <v>0</v>
      </c>
      <c r="Y141" s="133"/>
      <c r="Z141" s="142">
        <v>12.562738362935917</v>
      </c>
      <c r="AA141" s="138">
        <v>0</v>
      </c>
      <c r="AB141" s="138">
        <v>0</v>
      </c>
      <c r="AC141" s="138">
        <v>0</v>
      </c>
      <c r="AD141" s="138">
        <v>0</v>
      </c>
      <c r="AE141" s="138">
        <v>3.07304364965105</v>
      </c>
      <c r="AF141" s="138">
        <v>0</v>
      </c>
      <c r="AG141" s="133"/>
      <c r="AH141" s="142">
        <v>90.225657755346418</v>
      </c>
      <c r="AI141" s="138">
        <v>4.5615870404120029</v>
      </c>
      <c r="AJ141" s="138">
        <v>-5.2034694071496217</v>
      </c>
      <c r="AK141" s="138">
        <v>-1.9513002308582288</v>
      </c>
      <c r="AL141" s="138">
        <v>0</v>
      </c>
      <c r="AM141" s="138">
        <v>-1.3918076424350336</v>
      </c>
      <c r="AN141" s="138">
        <v>0</v>
      </c>
      <c r="AO141" s="133"/>
      <c r="AP141" s="142">
        <v>-81.982832214185649</v>
      </c>
      <c r="AQ141" s="138">
        <v>-4.1448500822078058</v>
      </c>
      <c r="AR141" s="138">
        <v>4.7280914315386875</v>
      </c>
      <c r="AS141" s="138">
        <v>1.7730335628001839</v>
      </c>
      <c r="AT141" s="138">
        <v>0</v>
      </c>
      <c r="AU141" s="138">
        <v>1.2646550356393638</v>
      </c>
      <c r="AV141" s="139">
        <v>0</v>
      </c>
    </row>
    <row r="142" spans="1:48" hidden="1" outlineLevel="1" x14ac:dyDescent="0.2">
      <c r="A142" s="132"/>
      <c r="B142" s="142">
        <v>35.522625623801105</v>
      </c>
      <c r="C142" s="138">
        <v>0</v>
      </c>
      <c r="D142" s="138">
        <v>0</v>
      </c>
      <c r="E142" s="138">
        <v>0</v>
      </c>
      <c r="F142" s="138">
        <v>0</v>
      </c>
      <c r="G142" s="138">
        <v>8.6893936607179576</v>
      </c>
      <c r="H142" s="138">
        <v>0</v>
      </c>
      <c r="I142" s="133"/>
      <c r="J142" s="142">
        <v>0</v>
      </c>
      <c r="K142" s="138">
        <v>0</v>
      </c>
      <c r="L142" s="138">
        <v>0</v>
      </c>
      <c r="M142" s="138">
        <v>0</v>
      </c>
      <c r="N142" s="138">
        <v>11.279347169268398</v>
      </c>
      <c r="O142" s="138">
        <v>0</v>
      </c>
      <c r="P142" s="138">
        <v>0</v>
      </c>
      <c r="Q142" s="133"/>
      <c r="R142" s="142">
        <v>0</v>
      </c>
      <c r="S142" s="138">
        <v>0</v>
      </c>
      <c r="T142" s="138">
        <v>0</v>
      </c>
      <c r="U142" s="138">
        <v>0</v>
      </c>
      <c r="V142" s="138">
        <v>11.279347169268398</v>
      </c>
      <c r="W142" s="138">
        <v>0</v>
      </c>
      <c r="X142" s="138">
        <v>0</v>
      </c>
      <c r="Y142" s="133"/>
      <c r="Z142" s="142">
        <v>-62.224591555411287</v>
      </c>
      <c r="AA142" s="138">
        <v>-3.1459220968358634</v>
      </c>
      <c r="AB142" s="138">
        <v>3.5885995911376702</v>
      </c>
      <c r="AC142" s="138">
        <v>1.3457242971436061</v>
      </c>
      <c r="AD142" s="138">
        <v>9.5964557326700781</v>
      </c>
      <c r="AE142" s="138">
        <v>0.95986733961036785</v>
      </c>
      <c r="AF142" s="138">
        <v>0</v>
      </c>
      <c r="AG142" s="133"/>
      <c r="AH142" s="142">
        <v>-15.886099363930539</v>
      </c>
      <c r="AI142" s="138">
        <v>-0.80316205815533537</v>
      </c>
      <c r="AJ142" s="138">
        <v>0.91617876882979421</v>
      </c>
      <c r="AK142" s="138">
        <v>0.34356689801396961</v>
      </c>
      <c r="AL142" s="138">
        <v>1</v>
      </c>
      <c r="AM142" s="138">
        <v>0.24505661752175681</v>
      </c>
      <c r="AN142" s="138">
        <v>0</v>
      </c>
      <c r="AO142" s="133"/>
      <c r="AP142" s="142">
        <v>0</v>
      </c>
      <c r="AQ142" s="138">
        <v>0</v>
      </c>
      <c r="AR142" s="138">
        <v>0</v>
      </c>
      <c r="AS142" s="138">
        <v>0</v>
      </c>
      <c r="AT142" s="138">
        <v>1</v>
      </c>
      <c r="AU142" s="138">
        <v>0</v>
      </c>
      <c r="AV142" s="139">
        <v>0</v>
      </c>
    </row>
    <row r="143" spans="1:48" hidden="1" outlineLevel="1" x14ac:dyDescent="0.2">
      <c r="A143" s="132"/>
      <c r="B143" s="143">
        <f>SUM(B137:B142)</f>
        <v>96.606236432722255</v>
      </c>
      <c r="C143" s="133"/>
      <c r="D143" s="133"/>
      <c r="E143" s="133"/>
      <c r="F143" s="133"/>
      <c r="G143" s="133"/>
      <c r="H143" s="133"/>
      <c r="I143" s="133"/>
      <c r="J143" s="143">
        <f>SUM(J137:J142)</f>
        <v>96.606236432722284</v>
      </c>
      <c r="K143" s="133"/>
      <c r="L143" s="133"/>
      <c r="M143" s="133"/>
      <c r="N143" s="133"/>
      <c r="O143" s="133"/>
      <c r="P143" s="133"/>
      <c r="Q143" s="133"/>
      <c r="R143" s="143">
        <f>SUM(R137:R142)</f>
        <v>96.606236432722255</v>
      </c>
      <c r="S143" s="133"/>
      <c r="T143" s="133"/>
      <c r="U143" s="133"/>
      <c r="V143" s="133"/>
      <c r="W143" s="133"/>
      <c r="X143" s="133"/>
      <c r="Y143" s="133"/>
      <c r="Z143" s="143">
        <f>SUM(Z137:Z142)</f>
        <v>96.606236432722255</v>
      </c>
      <c r="AA143" s="133"/>
      <c r="AB143" s="133"/>
      <c r="AC143" s="133"/>
      <c r="AD143" s="133"/>
      <c r="AE143" s="133"/>
      <c r="AF143" s="133"/>
      <c r="AG143" s="133"/>
      <c r="AH143" s="143">
        <f>SUM(AH137:AH142)</f>
        <v>96.606236432722241</v>
      </c>
      <c r="AI143" s="133"/>
      <c r="AJ143" s="133"/>
      <c r="AK143" s="133"/>
      <c r="AL143" s="133"/>
      <c r="AM143" s="133"/>
      <c r="AN143" s="133"/>
      <c r="AO143" s="133"/>
      <c r="AP143" s="143">
        <f>SUM(AP137:AP142)</f>
        <v>96.60623643272227</v>
      </c>
      <c r="AQ143" s="133"/>
      <c r="AR143" s="133"/>
      <c r="AS143" s="133"/>
      <c r="AT143" s="133"/>
      <c r="AU143" s="133"/>
      <c r="AV143" s="134"/>
    </row>
    <row r="144" spans="1:48" hidden="1" outlineLevel="1" x14ac:dyDescent="0.2">
      <c r="A144" s="132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133"/>
      <c r="AD144" s="133"/>
      <c r="AE144" s="133"/>
      <c r="AF144" s="133"/>
      <c r="AG144" s="133"/>
      <c r="AH144" s="133"/>
      <c r="AI144" s="133"/>
      <c r="AJ144" s="133"/>
      <c r="AK144" s="133"/>
      <c r="AL144" s="133"/>
      <c r="AM144" s="133"/>
      <c r="AN144" s="133"/>
      <c r="AO144" s="133"/>
      <c r="AP144" s="133"/>
      <c r="AQ144" s="133"/>
      <c r="AR144" s="133"/>
      <c r="AS144" s="133"/>
      <c r="AT144" s="133"/>
      <c r="AU144" s="133"/>
      <c r="AV144" s="134"/>
    </row>
    <row r="145" spans="1:48" hidden="1" outlineLevel="1" x14ac:dyDescent="0.2">
      <c r="A145" s="132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133"/>
      <c r="AD145" s="133"/>
      <c r="AE145" s="133"/>
      <c r="AF145" s="133"/>
      <c r="AG145" s="133"/>
      <c r="AH145" s="133"/>
      <c r="AI145" s="133"/>
      <c r="AJ145" s="133"/>
      <c r="AK145" s="133"/>
      <c r="AL145" s="133"/>
      <c r="AM145" s="133"/>
      <c r="AN145" s="133"/>
      <c r="AO145" s="133"/>
      <c r="AP145" s="133"/>
      <c r="AQ145" s="133"/>
      <c r="AR145" s="133"/>
      <c r="AS145" s="133"/>
      <c r="AT145" s="133"/>
      <c r="AU145" s="133"/>
      <c r="AV145" s="134"/>
    </row>
    <row r="146" spans="1:48" hidden="1" outlineLevel="1" x14ac:dyDescent="0.2">
      <c r="A146" s="135" t="s">
        <v>63</v>
      </c>
      <c r="B146" s="136">
        <v>21</v>
      </c>
      <c r="C146" s="136" t="s">
        <v>59</v>
      </c>
      <c r="D146" s="136" t="str">
        <f>$L$202</f>
        <v>AH3</v>
      </c>
      <c r="E146" s="136" t="str">
        <f>$I$202</f>
        <v>strätlingite</v>
      </c>
      <c r="F146" s="136" t="str">
        <f>$M$202</f>
        <v>Hydrogarnet</v>
      </c>
      <c r="G146" s="136" t="str">
        <f>$O$202</f>
        <v>Hemicarbonate</v>
      </c>
      <c r="H146" s="136" t="str">
        <f>$Q$202</f>
        <v>Hemisulphate</v>
      </c>
      <c r="I146" s="133"/>
      <c r="J146" s="136">
        <v>22</v>
      </c>
      <c r="K146" s="136" t="s">
        <v>59</v>
      </c>
      <c r="L146" s="136" t="str">
        <f>$L$202</f>
        <v>AH3</v>
      </c>
      <c r="M146" s="136" t="str">
        <f>$I$202</f>
        <v>strätlingite</v>
      </c>
      <c r="N146" s="136" t="str">
        <f>$R$202</f>
        <v>monosulphate</v>
      </c>
      <c r="O146" s="136" t="str">
        <f>$Q$202</f>
        <v>Hemisulphate</v>
      </c>
      <c r="P146" s="136" t="str">
        <f>$O$202</f>
        <v>Hemicarbonate</v>
      </c>
      <c r="Q146" s="133"/>
      <c r="R146" s="136">
        <v>23</v>
      </c>
      <c r="S146" s="136" t="s">
        <v>59</v>
      </c>
      <c r="T146" s="136" t="str">
        <f>$L$202</f>
        <v>AH3</v>
      </c>
      <c r="U146" s="136" t="str">
        <f>$I$202</f>
        <v>strätlingite</v>
      </c>
      <c r="V146" s="136" t="str">
        <f>$R$202</f>
        <v>monosulphate</v>
      </c>
      <c r="W146" s="136" t="str">
        <f>$S$202</f>
        <v>ettringite</v>
      </c>
      <c r="X146" s="136" t="str">
        <f>$O$202</f>
        <v>Hemicarbonate</v>
      </c>
      <c r="Y146" s="133"/>
      <c r="Z146" s="136">
        <v>24</v>
      </c>
      <c r="AA146" s="136" t="s">
        <v>59</v>
      </c>
      <c r="AB146" s="136" t="str">
        <f>$L$202</f>
        <v>AH3</v>
      </c>
      <c r="AC146" s="136" t="str">
        <f>$I$202</f>
        <v>strätlingite</v>
      </c>
      <c r="AD146" s="136" t="str">
        <f>$O$202</f>
        <v>Hemicarbonate</v>
      </c>
      <c r="AE146" s="136" t="str">
        <f>$S$202</f>
        <v>ettringite</v>
      </c>
      <c r="AF146" s="136" t="str">
        <f>$P$202</f>
        <v>monocarbonate</v>
      </c>
      <c r="AG146" s="133"/>
      <c r="AH146" s="136">
        <v>25</v>
      </c>
      <c r="AI146" s="136" t="s">
        <v>59</v>
      </c>
      <c r="AJ146" s="136" t="str">
        <f>$L$202</f>
        <v>AH3</v>
      </c>
      <c r="AK146" s="136" t="str">
        <f>$I$202</f>
        <v>strätlingite</v>
      </c>
      <c r="AL146" s="136" t="str">
        <f>$S$202</f>
        <v>ettringite</v>
      </c>
      <c r="AM146" s="136" t="str">
        <f>$P$202</f>
        <v>monocarbonate</v>
      </c>
      <c r="AN146" s="136" t="str">
        <f>$U$202</f>
        <v>calcite</v>
      </c>
      <c r="AO146" s="133"/>
      <c r="AP146" s="136">
        <v>26</v>
      </c>
      <c r="AQ146" s="136" t="s">
        <v>59</v>
      </c>
      <c r="AR146" s="136" t="str">
        <f>$L$202</f>
        <v>AH3</v>
      </c>
      <c r="AS146" s="136" t="str">
        <f>$I$202</f>
        <v>strätlingite</v>
      </c>
      <c r="AT146" s="136" t="str">
        <f>$S$202</f>
        <v>ettringite</v>
      </c>
      <c r="AU146" s="136" t="str">
        <f>$T$202</f>
        <v>gypsum</v>
      </c>
      <c r="AV146" s="137" t="str">
        <f>$U$202</f>
        <v>calcite</v>
      </c>
    </row>
    <row r="147" spans="1:48" hidden="1" outlineLevel="1" x14ac:dyDescent="0.2">
      <c r="A147" s="132"/>
      <c r="B147" s="133"/>
      <c r="C147" s="138">
        <v>0</v>
      </c>
      <c r="D147" s="138">
        <f>$L$203</f>
        <v>0</v>
      </c>
      <c r="E147" s="138">
        <f>$I$203</f>
        <v>0.26810599086468712</v>
      </c>
      <c r="F147" s="138">
        <f>$M$203</f>
        <v>0.44472323706657291</v>
      </c>
      <c r="G147" s="138">
        <f>$O$203</f>
        <v>0.34771498375494458</v>
      </c>
      <c r="H147" s="138">
        <f>$Q$203</f>
        <v>0.33182231315971239</v>
      </c>
      <c r="I147" s="133"/>
      <c r="J147" s="133"/>
      <c r="K147" s="138">
        <v>0</v>
      </c>
      <c r="L147" s="138">
        <f>$L$203</f>
        <v>0</v>
      </c>
      <c r="M147" s="138">
        <f>$I$203</f>
        <v>0.26810599086468712</v>
      </c>
      <c r="N147" s="138">
        <f>$R$203</f>
        <v>0.27024452567298896</v>
      </c>
      <c r="O147" s="138">
        <f>$Q$203</f>
        <v>0.33182231315971239</v>
      </c>
      <c r="P147" s="138">
        <f>$O$203</f>
        <v>0.34771498375494458</v>
      </c>
      <c r="Q147" s="133"/>
      <c r="R147" s="133"/>
      <c r="S147" s="138">
        <v>0</v>
      </c>
      <c r="T147" s="138">
        <f>$L$203</f>
        <v>0</v>
      </c>
      <c r="U147" s="138">
        <f>$I$203</f>
        <v>0.26810599086468712</v>
      </c>
      <c r="V147" s="138">
        <f>$R$203</f>
        <v>0.27024452567298896</v>
      </c>
      <c r="W147" s="138">
        <f>$S$203</f>
        <v>0.13403810838353239</v>
      </c>
      <c r="X147" s="138">
        <f>$O$203</f>
        <v>0.34771498375494458</v>
      </c>
      <c r="Y147" s="133"/>
      <c r="Z147" s="133"/>
      <c r="AA147" s="138">
        <v>0</v>
      </c>
      <c r="AB147" s="138">
        <f>$L$203</f>
        <v>0</v>
      </c>
      <c r="AC147" s="138">
        <f>$I$203</f>
        <v>0.26810599086468712</v>
      </c>
      <c r="AD147" s="138">
        <f>$O$203</f>
        <v>0.34771498375494458</v>
      </c>
      <c r="AE147" s="138">
        <f>$S$203</f>
        <v>0.13403810838353239</v>
      </c>
      <c r="AF147" s="138">
        <f>$P$203</f>
        <v>0.29594963069652797</v>
      </c>
      <c r="AG147" s="133"/>
      <c r="AH147" s="133"/>
      <c r="AI147" s="138">
        <v>0</v>
      </c>
      <c r="AJ147" s="138">
        <f>$L$203</f>
        <v>0</v>
      </c>
      <c r="AK147" s="138">
        <f>$I$203</f>
        <v>0.26810599086468712</v>
      </c>
      <c r="AL147" s="138">
        <f>$S$203</f>
        <v>0.13403810838353239</v>
      </c>
      <c r="AM147" s="138">
        <f>$P$203</f>
        <v>0.29594963069652797</v>
      </c>
      <c r="AN147" s="138">
        <f>$U$203</f>
        <v>0</v>
      </c>
      <c r="AO147" s="133"/>
      <c r="AP147" s="133"/>
      <c r="AQ147" s="138">
        <v>0</v>
      </c>
      <c r="AR147" s="138">
        <f>$L$203</f>
        <v>0</v>
      </c>
      <c r="AS147" s="138">
        <f>$I$203</f>
        <v>0.26810599086468712</v>
      </c>
      <c r="AT147" s="138">
        <f>$S$203</f>
        <v>0.13403810838353239</v>
      </c>
      <c r="AU147" s="138">
        <f>$T$203</f>
        <v>0</v>
      </c>
      <c r="AV147" s="139">
        <f>$U$203</f>
        <v>0</v>
      </c>
    </row>
    <row r="148" spans="1:48" hidden="1" outlineLevel="1" x14ac:dyDescent="0.2">
      <c r="A148" s="132"/>
      <c r="B148" s="133"/>
      <c r="C148" s="138">
        <v>0</v>
      </c>
      <c r="D148" s="138">
        <f>$L$204</f>
        <v>0</v>
      </c>
      <c r="E148" s="138">
        <f>$I$204</f>
        <v>0.1436314877910809</v>
      </c>
      <c r="F148" s="138">
        <f>$M$204</f>
        <v>0</v>
      </c>
      <c r="G148" s="138">
        <f>$O$204</f>
        <v>0</v>
      </c>
      <c r="H148" s="138">
        <f>$Q$204</f>
        <v>0</v>
      </c>
      <c r="I148" s="133"/>
      <c r="J148" s="133"/>
      <c r="K148" s="138">
        <v>0</v>
      </c>
      <c r="L148" s="138">
        <f>$L$204</f>
        <v>0</v>
      </c>
      <c r="M148" s="138">
        <f>$I$204</f>
        <v>0.1436314877910809</v>
      </c>
      <c r="N148" s="138">
        <f>$R$204</f>
        <v>0</v>
      </c>
      <c r="O148" s="138">
        <f>$Q$204</f>
        <v>0</v>
      </c>
      <c r="P148" s="138">
        <f>$O$204</f>
        <v>0</v>
      </c>
      <c r="Q148" s="133"/>
      <c r="R148" s="133"/>
      <c r="S148" s="138">
        <v>0</v>
      </c>
      <c r="T148" s="138">
        <f>$L$204</f>
        <v>0</v>
      </c>
      <c r="U148" s="138">
        <f>$I$204</f>
        <v>0.1436314877910809</v>
      </c>
      <c r="V148" s="138">
        <f>$R$204</f>
        <v>0</v>
      </c>
      <c r="W148" s="138">
        <f>$S$204</f>
        <v>0</v>
      </c>
      <c r="X148" s="138">
        <f>$O$204</f>
        <v>0</v>
      </c>
      <c r="Y148" s="133"/>
      <c r="Z148" s="133"/>
      <c r="AA148" s="138">
        <v>0</v>
      </c>
      <c r="AB148" s="138">
        <f>$L$204</f>
        <v>0</v>
      </c>
      <c r="AC148" s="138">
        <f>$I$204</f>
        <v>0.1436314877910809</v>
      </c>
      <c r="AD148" s="138">
        <f>$O$204</f>
        <v>0</v>
      </c>
      <c r="AE148" s="138">
        <f>$S$204</f>
        <v>0</v>
      </c>
      <c r="AF148" s="138">
        <f>$P$204</f>
        <v>0</v>
      </c>
      <c r="AG148" s="133"/>
      <c r="AH148" s="133"/>
      <c r="AI148" s="138">
        <v>0</v>
      </c>
      <c r="AJ148" s="138">
        <f>$L$204</f>
        <v>0</v>
      </c>
      <c r="AK148" s="138">
        <f>$I$204</f>
        <v>0.1436314877910809</v>
      </c>
      <c r="AL148" s="138">
        <f>$S$204</f>
        <v>0</v>
      </c>
      <c r="AM148" s="138">
        <f>$P$204</f>
        <v>0</v>
      </c>
      <c r="AN148" s="138">
        <f>$U$204</f>
        <v>0</v>
      </c>
      <c r="AO148" s="133"/>
      <c r="AP148" s="133"/>
      <c r="AQ148" s="138">
        <v>0</v>
      </c>
      <c r="AR148" s="138">
        <f>$L$204</f>
        <v>0</v>
      </c>
      <c r="AS148" s="138">
        <f>$I$204</f>
        <v>0.1436314877910809</v>
      </c>
      <c r="AT148" s="138">
        <f>$S$204</f>
        <v>0</v>
      </c>
      <c r="AU148" s="138">
        <f>$T$204</f>
        <v>0</v>
      </c>
      <c r="AV148" s="139">
        <f>$U$204</f>
        <v>0</v>
      </c>
    </row>
    <row r="149" spans="1:48" hidden="1" outlineLevel="1" x14ac:dyDescent="0.2">
      <c r="A149" s="132"/>
      <c r="B149" s="133"/>
      <c r="C149" s="138">
        <v>0</v>
      </c>
      <c r="D149" s="138">
        <f>$L$205</f>
        <v>0.65356811475743049</v>
      </c>
      <c r="E149" s="138">
        <f>$I$205</f>
        <v>0.24373838184384281</v>
      </c>
      <c r="F149" s="138">
        <f>$M$205</f>
        <v>0.26953549681692768</v>
      </c>
      <c r="G149" s="138">
        <f>$O$205</f>
        <v>0.18063535716911364</v>
      </c>
      <c r="H149" s="138">
        <f>$Q$205</f>
        <v>0.17237923257436782</v>
      </c>
      <c r="I149" s="133"/>
      <c r="J149" s="133"/>
      <c r="K149" s="138">
        <v>0</v>
      </c>
      <c r="L149" s="138">
        <f>$L$205</f>
        <v>0.65356811475743049</v>
      </c>
      <c r="M149" s="138">
        <f>$I$205</f>
        <v>0.24373838184384281</v>
      </c>
      <c r="N149" s="138">
        <f>$R$205</f>
        <v>0.16378836637767183</v>
      </c>
      <c r="O149" s="138">
        <f>$Q$205</f>
        <v>0.17237923257436782</v>
      </c>
      <c r="P149" s="138">
        <f>$O$205</f>
        <v>0.18063535716911364</v>
      </c>
      <c r="Q149" s="133"/>
      <c r="R149" s="133"/>
      <c r="S149" s="138">
        <v>0</v>
      </c>
      <c r="T149" s="138">
        <f>$L$205</f>
        <v>0.65356811475743049</v>
      </c>
      <c r="U149" s="138">
        <f>$I$205</f>
        <v>0.24373838184384281</v>
      </c>
      <c r="V149" s="138">
        <f>$R$205</f>
        <v>0.16378836637767183</v>
      </c>
      <c r="W149" s="138">
        <f>$S$205</f>
        <v>8.1237104617828668E-2</v>
      </c>
      <c r="X149" s="138">
        <f>$O$205</f>
        <v>0.18063535716911364</v>
      </c>
      <c r="Y149" s="133"/>
      <c r="Z149" s="133"/>
      <c r="AA149" s="138">
        <v>0</v>
      </c>
      <c r="AB149" s="138">
        <f>$L$205</f>
        <v>0.65356811475743049</v>
      </c>
      <c r="AC149" s="138">
        <f>$I$205</f>
        <v>0.24373838184384281</v>
      </c>
      <c r="AD149" s="138">
        <f>$O$205</f>
        <v>0.18063535716911364</v>
      </c>
      <c r="AE149" s="138">
        <f>$S$205</f>
        <v>8.1237104617828668E-2</v>
      </c>
      <c r="AF149" s="138">
        <f>$P$205</f>
        <v>0.17936757986548366</v>
      </c>
      <c r="AG149" s="133"/>
      <c r="AH149" s="133"/>
      <c r="AI149" s="138">
        <v>0</v>
      </c>
      <c r="AJ149" s="138">
        <f>$L$205</f>
        <v>0.65356811475743049</v>
      </c>
      <c r="AK149" s="138">
        <f>$I$205</f>
        <v>0.24373838184384281</v>
      </c>
      <c r="AL149" s="138">
        <f>$S$205</f>
        <v>8.1237104617828668E-2</v>
      </c>
      <c r="AM149" s="138">
        <f>$P$205</f>
        <v>0.17936757986548366</v>
      </c>
      <c r="AN149" s="138">
        <f>$U$205</f>
        <v>0</v>
      </c>
      <c r="AO149" s="133"/>
      <c r="AP149" s="133"/>
      <c r="AQ149" s="138">
        <v>0</v>
      </c>
      <c r="AR149" s="138">
        <f>$L$205</f>
        <v>0.65356811475743049</v>
      </c>
      <c r="AS149" s="138">
        <f>$I$205</f>
        <v>0.24373838184384281</v>
      </c>
      <c r="AT149" s="138">
        <f>$S$205</f>
        <v>8.1237104617828668E-2</v>
      </c>
      <c r="AU149" s="138">
        <f>$T$205</f>
        <v>0</v>
      </c>
      <c r="AV149" s="139">
        <f>$U$205</f>
        <v>0</v>
      </c>
    </row>
    <row r="150" spans="1:48" hidden="1" outlineLevel="1" x14ac:dyDescent="0.2">
      <c r="A150" s="132"/>
      <c r="B150" s="133"/>
      <c r="C150" s="138">
        <v>0</v>
      </c>
      <c r="D150" s="138">
        <f>$L$206</f>
        <v>0</v>
      </c>
      <c r="E150" s="138">
        <f>$I$206</f>
        <v>0</v>
      </c>
      <c r="F150" s="138">
        <f>$M$206</f>
        <v>0</v>
      </c>
      <c r="G150" s="138">
        <f>$O$206</f>
        <v>8.8657613334625476E-2</v>
      </c>
      <c r="H150" s="138">
        <f>$Q$206</f>
        <v>0</v>
      </c>
      <c r="I150" s="133"/>
      <c r="J150" s="133"/>
      <c r="K150" s="138">
        <v>0</v>
      </c>
      <c r="L150" s="138">
        <f>$L$206</f>
        <v>0</v>
      </c>
      <c r="M150" s="138">
        <f>$I$206</f>
        <v>0</v>
      </c>
      <c r="N150" s="138">
        <f>$R$206</f>
        <v>0</v>
      </c>
      <c r="O150" s="138">
        <f>$Q$206</f>
        <v>0</v>
      </c>
      <c r="P150" s="138">
        <f>$O$206</f>
        <v>8.8657613334625476E-2</v>
      </c>
      <c r="Q150" s="133"/>
      <c r="R150" s="133"/>
      <c r="S150" s="138">
        <v>0</v>
      </c>
      <c r="T150" s="138">
        <f>$L$206</f>
        <v>0</v>
      </c>
      <c r="U150" s="138">
        <f>$I$206</f>
        <v>0</v>
      </c>
      <c r="V150" s="138">
        <f>$R$206</f>
        <v>0</v>
      </c>
      <c r="W150" s="138">
        <f>$S$206</f>
        <v>0</v>
      </c>
      <c r="X150" s="138">
        <f>$O$206</f>
        <v>8.8657613334625476E-2</v>
      </c>
      <c r="Y150" s="133"/>
      <c r="Z150" s="133"/>
      <c r="AA150" s="138">
        <v>0</v>
      </c>
      <c r="AB150" s="138">
        <f>$L$206</f>
        <v>0</v>
      </c>
      <c r="AC150" s="138">
        <f>$I$206</f>
        <v>0</v>
      </c>
      <c r="AD150" s="138">
        <f>$O$206</f>
        <v>8.8657613334625476E-2</v>
      </c>
      <c r="AE150" s="138">
        <f>$S$206</f>
        <v>0</v>
      </c>
      <c r="AF150" s="138">
        <f>$P$206</f>
        <v>0.17607075148187762</v>
      </c>
      <c r="AG150" s="133"/>
      <c r="AH150" s="133"/>
      <c r="AI150" s="138">
        <v>0</v>
      </c>
      <c r="AJ150" s="138">
        <f>$L$206</f>
        <v>0</v>
      </c>
      <c r="AK150" s="138">
        <f>$I$206</f>
        <v>0</v>
      </c>
      <c r="AL150" s="138">
        <f>$S$206</f>
        <v>0</v>
      </c>
      <c r="AM150" s="138">
        <f>$P$206</f>
        <v>0.17607075148187762</v>
      </c>
      <c r="AN150" s="138">
        <f>$U$206</f>
        <v>1</v>
      </c>
      <c r="AO150" s="133"/>
      <c r="AP150" s="133"/>
      <c r="AQ150" s="138">
        <v>0</v>
      </c>
      <c r="AR150" s="138">
        <f>$L$206</f>
        <v>0</v>
      </c>
      <c r="AS150" s="138">
        <f>$I$206</f>
        <v>0</v>
      </c>
      <c r="AT150" s="138">
        <f>$S$206</f>
        <v>0</v>
      </c>
      <c r="AU150" s="138">
        <f>$T$206</f>
        <v>0</v>
      </c>
      <c r="AV150" s="139">
        <f>$U$206</f>
        <v>1</v>
      </c>
    </row>
    <row r="151" spans="1:48" hidden="1" outlineLevel="1" x14ac:dyDescent="0.2">
      <c r="A151" s="132"/>
      <c r="B151" s="133"/>
      <c r="C151" s="138">
        <v>0</v>
      </c>
      <c r="D151" s="138">
        <f>$L$207</f>
        <v>0</v>
      </c>
      <c r="E151" s="138">
        <f>$I$207</f>
        <v>0</v>
      </c>
      <c r="F151" s="138">
        <f>$M$207</f>
        <v>0</v>
      </c>
      <c r="G151" s="138">
        <f>$O$207</f>
        <v>0</v>
      </c>
      <c r="H151" s="138">
        <f>$Q$207</f>
        <v>0.1150828284510447</v>
      </c>
      <c r="I151" s="133"/>
      <c r="J151" s="133"/>
      <c r="K151" s="138">
        <v>0</v>
      </c>
      <c r="L151" s="138">
        <f>$L$207</f>
        <v>0</v>
      </c>
      <c r="M151" s="138">
        <f>$I$207</f>
        <v>0</v>
      </c>
      <c r="N151" s="138">
        <f>$R$207</f>
        <v>0.21869488787736116</v>
      </c>
      <c r="O151" s="138">
        <f>$Q$207</f>
        <v>0.1150828284510447</v>
      </c>
      <c r="P151" s="138">
        <f>$O$207</f>
        <v>0</v>
      </c>
      <c r="Q151" s="133"/>
      <c r="R151" s="133"/>
      <c r="S151" s="138">
        <v>0</v>
      </c>
      <c r="T151" s="138">
        <f>$L$207</f>
        <v>0</v>
      </c>
      <c r="U151" s="138">
        <f>$I$207</f>
        <v>0</v>
      </c>
      <c r="V151" s="138">
        <f>$R$207</f>
        <v>0.21869488787736116</v>
      </c>
      <c r="W151" s="138">
        <f>$S$207</f>
        <v>0.32541028179458237</v>
      </c>
      <c r="X151" s="138">
        <f>$O$207</f>
        <v>0</v>
      </c>
      <c r="Y151" s="133"/>
      <c r="Z151" s="133"/>
      <c r="AA151" s="138">
        <v>0</v>
      </c>
      <c r="AB151" s="138">
        <f>$L$207</f>
        <v>0</v>
      </c>
      <c r="AC151" s="138">
        <f>$I$207</f>
        <v>0</v>
      </c>
      <c r="AD151" s="138">
        <f>$O$207</f>
        <v>0</v>
      </c>
      <c r="AE151" s="138">
        <f>$S$207</f>
        <v>0.32541028179458237</v>
      </c>
      <c r="AF151" s="138">
        <f>$P$207</f>
        <v>0</v>
      </c>
      <c r="AG151" s="133"/>
      <c r="AH151" s="133"/>
      <c r="AI151" s="138">
        <v>0</v>
      </c>
      <c r="AJ151" s="138">
        <f>$L$207</f>
        <v>0</v>
      </c>
      <c r="AK151" s="138">
        <f>$I$207</f>
        <v>0</v>
      </c>
      <c r="AL151" s="138">
        <f>$S$207</f>
        <v>0.32541028179458237</v>
      </c>
      <c r="AM151" s="138">
        <f>$P$207</f>
        <v>0</v>
      </c>
      <c r="AN151" s="138">
        <f>$U$207</f>
        <v>0</v>
      </c>
      <c r="AO151" s="133"/>
      <c r="AP151" s="133"/>
      <c r="AQ151" s="138">
        <v>0</v>
      </c>
      <c r="AR151" s="138">
        <f>$L$207</f>
        <v>0</v>
      </c>
      <c r="AS151" s="138">
        <f>$I$207</f>
        <v>0</v>
      </c>
      <c r="AT151" s="138">
        <f>$S$207</f>
        <v>0.32541028179458237</v>
      </c>
      <c r="AU151" s="138">
        <f>$T$207</f>
        <v>0.79072946520505982</v>
      </c>
      <c r="AV151" s="139">
        <f>$U$207</f>
        <v>0</v>
      </c>
    </row>
    <row r="152" spans="1:48" hidden="1" outlineLevel="1" x14ac:dyDescent="0.2">
      <c r="A152" s="132"/>
      <c r="B152" s="133"/>
      <c r="C152" s="138">
        <v>1</v>
      </c>
      <c r="D152" s="138">
        <f>$L$208</f>
        <v>0.34643188524256951</v>
      </c>
      <c r="E152" s="138">
        <f>$I$208</f>
        <v>0.34452413950038913</v>
      </c>
      <c r="F152" s="138">
        <f>$M$208</f>
        <v>0.2857412661164993</v>
      </c>
      <c r="G152" s="138">
        <f>$O$208</f>
        <v>0.3829920457413164</v>
      </c>
      <c r="H152" s="138">
        <f>$Q$208</f>
        <v>0.38071562581487517</v>
      </c>
      <c r="I152" s="133"/>
      <c r="J152" s="133"/>
      <c r="K152" s="138">
        <v>1</v>
      </c>
      <c r="L152" s="138">
        <f>$L$208</f>
        <v>0.34643188524256951</v>
      </c>
      <c r="M152" s="138">
        <f>$I$208</f>
        <v>0.34452413950038913</v>
      </c>
      <c r="N152" s="138">
        <f>$R$208</f>
        <v>0.34727222007197794</v>
      </c>
      <c r="O152" s="138">
        <f>$Q$208</f>
        <v>0.38071562581487517</v>
      </c>
      <c r="P152" s="138">
        <f>$O$208</f>
        <v>0.3829920457413164</v>
      </c>
      <c r="Q152" s="133"/>
      <c r="R152" s="133"/>
      <c r="S152" s="138">
        <v>1</v>
      </c>
      <c r="T152" s="138">
        <f>$L$208</f>
        <v>0.34643188524256951</v>
      </c>
      <c r="U152" s="138">
        <f>$I$208</f>
        <v>0.34452413950038913</v>
      </c>
      <c r="V152" s="138">
        <f>$R$208</f>
        <v>0.34727222007197794</v>
      </c>
      <c r="W152" s="138">
        <f>$S$208</f>
        <v>0.45931450520405653</v>
      </c>
      <c r="X152" s="138">
        <f>$O$208</f>
        <v>0.3829920457413164</v>
      </c>
      <c r="Y152" s="133"/>
      <c r="Z152" s="133"/>
      <c r="AA152" s="138">
        <v>1</v>
      </c>
      <c r="AB152" s="138">
        <f>$L$208</f>
        <v>0.34643188524256951</v>
      </c>
      <c r="AC152" s="138">
        <f>$I$208</f>
        <v>0.34452413950038913</v>
      </c>
      <c r="AD152" s="138">
        <f>$O$208</f>
        <v>0.3829920457413164</v>
      </c>
      <c r="AE152" s="138">
        <f>$S$208</f>
        <v>0.45931450520405653</v>
      </c>
      <c r="AF152" s="138">
        <f>$P$208</f>
        <v>0.34861203795611073</v>
      </c>
      <c r="AG152" s="133"/>
      <c r="AH152" s="133"/>
      <c r="AI152" s="138">
        <v>1</v>
      </c>
      <c r="AJ152" s="138">
        <f>$L$208</f>
        <v>0.34643188524256951</v>
      </c>
      <c r="AK152" s="138">
        <f>$I$208</f>
        <v>0.34452413950038913</v>
      </c>
      <c r="AL152" s="138">
        <f>$S$208</f>
        <v>0.45931450520405653</v>
      </c>
      <c r="AM152" s="138">
        <f>$P$208</f>
        <v>0.34861203795611073</v>
      </c>
      <c r="AN152" s="138">
        <f>$U$208</f>
        <v>0</v>
      </c>
      <c r="AO152" s="133"/>
      <c r="AP152" s="133"/>
      <c r="AQ152" s="138">
        <v>1</v>
      </c>
      <c r="AR152" s="138">
        <f>$L$208</f>
        <v>0.34643188524256951</v>
      </c>
      <c r="AS152" s="138">
        <f>$I$208</f>
        <v>0.34452413950038913</v>
      </c>
      <c r="AT152" s="138">
        <f>$S$208</f>
        <v>0.45931450520405653</v>
      </c>
      <c r="AU152" s="138">
        <f>$T$208</f>
        <v>0.20927053479494012</v>
      </c>
      <c r="AV152" s="139">
        <f>$U$208</f>
        <v>0</v>
      </c>
    </row>
    <row r="153" spans="1:48" hidden="1" outlineLevel="1" x14ac:dyDescent="0.2">
      <c r="A153" s="132"/>
      <c r="B153" s="133"/>
      <c r="C153" s="140">
        <f t="shared" ref="C153:H153" si="84">SUM(C147:C152)</f>
        <v>1</v>
      </c>
      <c r="D153" s="140">
        <f t="shared" si="84"/>
        <v>1</v>
      </c>
      <c r="E153" s="140">
        <f t="shared" si="84"/>
        <v>1</v>
      </c>
      <c r="F153" s="140">
        <f t="shared" si="84"/>
        <v>0.99999999999999989</v>
      </c>
      <c r="G153" s="140">
        <f t="shared" si="84"/>
        <v>1</v>
      </c>
      <c r="H153" s="140">
        <f t="shared" si="84"/>
        <v>1</v>
      </c>
      <c r="I153" s="133"/>
      <c r="J153" s="133"/>
      <c r="K153" s="140">
        <f t="shared" ref="K153:P153" si="85">SUM(K147:K152)</f>
        <v>1</v>
      </c>
      <c r="L153" s="140">
        <f t="shared" si="85"/>
        <v>1</v>
      </c>
      <c r="M153" s="140">
        <f t="shared" si="85"/>
        <v>1</v>
      </c>
      <c r="N153" s="140">
        <f t="shared" si="85"/>
        <v>0.99999999999999978</v>
      </c>
      <c r="O153" s="140">
        <f t="shared" si="85"/>
        <v>1</v>
      </c>
      <c r="P153" s="140">
        <f t="shared" si="85"/>
        <v>1</v>
      </c>
      <c r="Q153" s="133"/>
      <c r="R153" s="133"/>
      <c r="S153" s="140">
        <f t="shared" ref="S153:X153" si="86">SUM(S147:S152)</f>
        <v>1</v>
      </c>
      <c r="T153" s="140">
        <f t="shared" si="86"/>
        <v>1</v>
      </c>
      <c r="U153" s="140">
        <f t="shared" si="86"/>
        <v>1</v>
      </c>
      <c r="V153" s="140">
        <f t="shared" si="86"/>
        <v>0.99999999999999978</v>
      </c>
      <c r="W153" s="140">
        <f t="shared" si="86"/>
        <v>1</v>
      </c>
      <c r="X153" s="140">
        <f t="shared" si="86"/>
        <v>1</v>
      </c>
      <c r="Y153" s="133"/>
      <c r="Z153" s="133"/>
      <c r="AA153" s="140">
        <f t="shared" ref="AA153:AF153" si="87">SUM(AA147:AA152)</f>
        <v>1</v>
      </c>
      <c r="AB153" s="140">
        <f t="shared" si="87"/>
        <v>1</v>
      </c>
      <c r="AC153" s="140">
        <f t="shared" si="87"/>
        <v>1</v>
      </c>
      <c r="AD153" s="140">
        <f t="shared" si="87"/>
        <v>1</v>
      </c>
      <c r="AE153" s="140">
        <f t="shared" si="87"/>
        <v>1</v>
      </c>
      <c r="AF153" s="140">
        <f t="shared" si="87"/>
        <v>0.99999999999999989</v>
      </c>
      <c r="AG153" s="133"/>
      <c r="AH153" s="133"/>
      <c r="AI153" s="140">
        <f t="shared" ref="AI153:AN153" si="88">SUM(AI147:AI152)</f>
        <v>1</v>
      </c>
      <c r="AJ153" s="140">
        <f t="shared" si="88"/>
        <v>1</v>
      </c>
      <c r="AK153" s="140">
        <f t="shared" si="88"/>
        <v>1</v>
      </c>
      <c r="AL153" s="140">
        <f t="shared" si="88"/>
        <v>1</v>
      </c>
      <c r="AM153" s="140">
        <f t="shared" si="88"/>
        <v>0.99999999999999989</v>
      </c>
      <c r="AN153" s="140">
        <f t="shared" si="88"/>
        <v>1</v>
      </c>
      <c r="AO153" s="133"/>
      <c r="AP153" s="133"/>
      <c r="AQ153" s="140">
        <f t="shared" ref="AQ153:AV153" si="89">SUM(AQ147:AQ152)</f>
        <v>1</v>
      </c>
      <c r="AR153" s="140">
        <f t="shared" si="89"/>
        <v>1</v>
      </c>
      <c r="AS153" s="140">
        <f t="shared" si="89"/>
        <v>1</v>
      </c>
      <c r="AT153" s="140">
        <f t="shared" si="89"/>
        <v>1</v>
      </c>
      <c r="AU153" s="140">
        <f t="shared" si="89"/>
        <v>1</v>
      </c>
      <c r="AV153" s="141">
        <f t="shared" si="89"/>
        <v>1</v>
      </c>
    </row>
    <row r="154" spans="1:48" hidden="1" outlineLevel="1" x14ac:dyDescent="0.2">
      <c r="A154" s="132"/>
      <c r="B154" s="142">
        <f t="array" ref="B154:B159">MMULT(C154:H159,$V$19:$V$24)</f>
        <v>3.0137768207275641</v>
      </c>
      <c r="C154" s="138">
        <f t="array" ref="C154:H159">MINVERSE(C147:H152)</f>
        <v>-0.32125740494388111</v>
      </c>
      <c r="D154" s="138">
        <v>-0.89950020221588667</v>
      </c>
      <c r="E154" s="138">
        <v>-0.53006240270938942</v>
      </c>
      <c r="F154" s="138">
        <v>-1.9799542798679552</v>
      </c>
      <c r="G154" s="138">
        <v>-1.5879302138361822</v>
      </c>
      <c r="H154" s="138">
        <v>1</v>
      </c>
      <c r="I154" s="133"/>
      <c r="J154" s="142">
        <f t="array" ref="J154:J159">MMULT(K154:P159,$V$19:$V$24)</f>
        <v>2.9191310972880871</v>
      </c>
      <c r="K154" s="138">
        <f t="array" ref="K154:P159">MINVERSE(K147:P152)</f>
        <v>-0.8031435123597026</v>
      </c>
      <c r="L154" s="138">
        <v>0</v>
      </c>
      <c r="M154" s="138">
        <v>-0.53006240270938942</v>
      </c>
      <c r="N154" s="138">
        <v>-8.9997921812179804E-2</v>
      </c>
      <c r="O154" s="138">
        <v>-0.19849127672952305</v>
      </c>
      <c r="P154" s="138">
        <v>1</v>
      </c>
      <c r="Q154" s="133"/>
      <c r="R154" s="142">
        <f t="array" ref="R154:R159">MMULT(S154:X159,$V$19:$V$24)</f>
        <v>9.2287948050524697</v>
      </c>
      <c r="S154" s="138">
        <f t="array" ref="S154:X159">MINVERSE(S147:X152)</f>
        <v>0.10708580164796122</v>
      </c>
      <c r="T154" s="138">
        <v>-1.6990559375188981</v>
      </c>
      <c r="U154" s="138">
        <v>-0.53006240270938942</v>
      </c>
      <c r="V154" s="138">
        <v>-3.6599154870286474</v>
      </c>
      <c r="W154" s="138">
        <v>-1.3232751781968188</v>
      </c>
      <c r="X154" s="138">
        <v>1</v>
      </c>
      <c r="Y154" s="133"/>
      <c r="Z154" s="142">
        <f t="array" ref="Z154:Z159">MMULT(AA154:AF159,$V$19:$V$24)</f>
        <v>-0.14631312890126225</v>
      </c>
      <c r="AA154" s="138">
        <f t="array" ref="AA154:AF159">MINVERSE(AA147:AF152)</f>
        <v>-0.80314351235970294</v>
      </c>
      <c r="AB154" s="138">
        <v>-2.2204460492503131E-16</v>
      </c>
      <c r="AC154" s="138">
        <v>-0.53006240270938942</v>
      </c>
      <c r="AD154" s="138">
        <v>-8.9997921812179804E-2</v>
      </c>
      <c r="AE154" s="138">
        <v>-0.94834721104105357</v>
      </c>
      <c r="AF154" s="138">
        <v>1</v>
      </c>
      <c r="AG154" s="133"/>
      <c r="AH154" s="142">
        <f t="array" ref="AH154:AH159">MMULT(AI154:AN159,$V$19:$V$24)</f>
        <v>-0.69779006619265971</v>
      </c>
      <c r="AI154" s="138">
        <f t="array" ref="AI154:AN159">MINVERSE(AI147:AN152)</f>
        <v>-0.85668641318368322</v>
      </c>
      <c r="AJ154" s="138">
        <v>9.9944466912876617E-2</v>
      </c>
      <c r="AK154" s="138">
        <v>-0.53006240270938942</v>
      </c>
      <c r="AL154" s="138">
        <v>0</v>
      </c>
      <c r="AM154" s="138">
        <v>-0.9262926247377733</v>
      </c>
      <c r="AN154" s="138">
        <v>1</v>
      </c>
      <c r="AO154" s="133"/>
      <c r="AP154" s="142">
        <f t="array" ref="AP154:AP159">MMULT(AQ154:AV159,$V$19:$V$24)</f>
        <v>-17.242098184934513</v>
      </c>
      <c r="AQ154" s="138">
        <f t="array" ref="AQ154:AV159">MINVERSE(AQ147:AV152)</f>
        <v>-2.4629734379030896</v>
      </c>
      <c r="AR154" s="138">
        <v>3.0982784742991663</v>
      </c>
      <c r="AS154" s="138">
        <v>-0.53006240270938942</v>
      </c>
      <c r="AT154" s="138">
        <v>0</v>
      </c>
      <c r="AU154" s="138">
        <v>-0.26465503563936371</v>
      </c>
      <c r="AV154" s="139">
        <v>1</v>
      </c>
    </row>
    <row r="155" spans="1:48" hidden="1" outlineLevel="1" x14ac:dyDescent="0.2">
      <c r="A155" s="132"/>
      <c r="B155" s="142">
        <v>-41.897312098892918</v>
      </c>
      <c r="C155" s="138">
        <v>-0.92733209219162549</v>
      </c>
      <c r="D155" s="138">
        <v>-0.86549019738378685</v>
      </c>
      <c r="E155" s="138">
        <v>1.5300624027093894</v>
      </c>
      <c r="F155" s="138">
        <v>0.51957066105023075</v>
      </c>
      <c r="G155" s="138">
        <v>0.38197268628153819</v>
      </c>
      <c r="H155" s="138">
        <v>0</v>
      </c>
      <c r="I155" s="133"/>
      <c r="J155" s="142">
        <v>-41.851778509428812</v>
      </c>
      <c r="K155" s="138">
        <v>-0.69549906914371917</v>
      </c>
      <c r="L155" s="138">
        <v>-1.2982352960756807</v>
      </c>
      <c r="M155" s="138">
        <v>1.5300624027093894</v>
      </c>
      <c r="N155" s="138">
        <v>-0.38967799578767326</v>
      </c>
      <c r="O155" s="138">
        <v>-0.28647951471115374</v>
      </c>
      <c r="P155" s="138">
        <v>0</v>
      </c>
      <c r="Q155" s="133"/>
      <c r="R155" s="142">
        <v>-43.458833335367274</v>
      </c>
      <c r="S155" s="138">
        <v>-0.9273320921916256</v>
      </c>
      <c r="T155" s="138">
        <v>-0.86549019738378707</v>
      </c>
      <c r="U155" s="138">
        <v>1.5300624027093894</v>
      </c>
      <c r="V155" s="138">
        <v>0.5195706610502322</v>
      </c>
      <c r="W155" s="138">
        <v>0</v>
      </c>
      <c r="X155" s="138">
        <v>0</v>
      </c>
      <c r="Y155" s="133"/>
      <c r="Z155" s="142">
        <v>-41.071017891191623</v>
      </c>
      <c r="AA155" s="138">
        <v>-0.69549906914371895</v>
      </c>
      <c r="AB155" s="138">
        <v>-1.2982352960756804</v>
      </c>
      <c r="AC155" s="138">
        <v>1.5300624027093894</v>
      </c>
      <c r="AD155" s="138">
        <v>-0.38967799578767326</v>
      </c>
      <c r="AE155" s="138">
        <v>-9.5493171570384644E-2</v>
      </c>
      <c r="AF155" s="138">
        <v>0</v>
      </c>
      <c r="AG155" s="133"/>
      <c r="AH155" s="142">
        <v>-43.458833335367274</v>
      </c>
      <c r="AI155" s="138">
        <v>-0.9273320921916256</v>
      </c>
      <c r="AJ155" s="138">
        <v>-0.86549019738378652</v>
      </c>
      <c r="AK155" s="138">
        <v>1.5300624027093894</v>
      </c>
      <c r="AL155" s="138">
        <v>0</v>
      </c>
      <c r="AM155" s="138">
        <v>0</v>
      </c>
      <c r="AN155" s="138">
        <v>0</v>
      </c>
      <c r="AO155" s="133"/>
      <c r="AP155" s="142">
        <v>-43.458833335367274</v>
      </c>
      <c r="AQ155" s="138">
        <v>-0.9273320921916256</v>
      </c>
      <c r="AR155" s="138">
        <v>-0.86549019738378685</v>
      </c>
      <c r="AS155" s="138">
        <v>1.5300624027093894</v>
      </c>
      <c r="AT155" s="138">
        <v>0</v>
      </c>
      <c r="AU155" s="138">
        <v>0</v>
      </c>
      <c r="AV155" s="139">
        <v>0</v>
      </c>
    </row>
    <row r="156" spans="1:48" hidden="1" outlineLevel="1" x14ac:dyDescent="0.2">
      <c r="A156" s="132"/>
      <c r="B156" s="142">
        <v>99.525507748898931</v>
      </c>
      <c r="C156" s="138">
        <v>0</v>
      </c>
      <c r="D156" s="138">
        <v>6.9622616557070653</v>
      </c>
      <c r="E156" s="138">
        <v>0</v>
      </c>
      <c r="F156" s="138">
        <v>0</v>
      </c>
      <c r="G156" s="138">
        <v>1.6563942059548908E-15</v>
      </c>
      <c r="H156" s="138">
        <v>0</v>
      </c>
      <c r="I156" s="133"/>
      <c r="J156" s="142">
        <v>99.525507748898931</v>
      </c>
      <c r="K156" s="138">
        <v>0</v>
      </c>
      <c r="L156" s="138">
        <v>6.9622616557070653</v>
      </c>
      <c r="M156" s="138">
        <v>0</v>
      </c>
      <c r="N156" s="138">
        <v>0</v>
      </c>
      <c r="O156" s="138">
        <v>0</v>
      </c>
      <c r="P156" s="138">
        <v>0</v>
      </c>
      <c r="Q156" s="133"/>
      <c r="R156" s="142">
        <v>99.525507748898931</v>
      </c>
      <c r="S156" s="138">
        <v>-4.140985514887227E-16</v>
      </c>
      <c r="T156" s="138">
        <v>6.9622616557070662</v>
      </c>
      <c r="U156" s="138">
        <v>0</v>
      </c>
      <c r="V156" s="138">
        <v>-1.6563942059548908E-15</v>
      </c>
      <c r="W156" s="138">
        <v>4.140985514887227E-16</v>
      </c>
      <c r="X156" s="138">
        <v>0</v>
      </c>
      <c r="Y156" s="133"/>
      <c r="Z156" s="142">
        <v>99.525507748898917</v>
      </c>
      <c r="AA156" s="138">
        <v>-4.140985514887227E-16</v>
      </c>
      <c r="AB156" s="138">
        <v>6.9622616557070653</v>
      </c>
      <c r="AC156" s="138">
        <v>0</v>
      </c>
      <c r="AD156" s="138">
        <v>0</v>
      </c>
      <c r="AE156" s="138">
        <v>2.0704927574436135E-16</v>
      </c>
      <c r="AF156" s="138">
        <v>0</v>
      </c>
      <c r="AG156" s="133"/>
      <c r="AH156" s="142">
        <v>99.525507748898917</v>
      </c>
      <c r="AI156" s="138">
        <v>0</v>
      </c>
      <c r="AJ156" s="138">
        <v>6.9622616557070645</v>
      </c>
      <c r="AK156" s="138">
        <v>0</v>
      </c>
      <c r="AL156" s="138">
        <v>0</v>
      </c>
      <c r="AM156" s="138">
        <v>0</v>
      </c>
      <c r="AN156" s="138">
        <v>0</v>
      </c>
      <c r="AO156" s="133"/>
      <c r="AP156" s="142">
        <v>99.525507748898931</v>
      </c>
      <c r="AQ156" s="138">
        <v>4.140985514887227E-16</v>
      </c>
      <c r="AR156" s="138">
        <v>6.9622616557070645</v>
      </c>
      <c r="AS156" s="138">
        <v>0</v>
      </c>
      <c r="AT156" s="138">
        <v>0</v>
      </c>
      <c r="AU156" s="138">
        <v>0</v>
      </c>
      <c r="AV156" s="139">
        <v>0</v>
      </c>
    </row>
    <row r="157" spans="1:48" hidden="1" outlineLevel="1" x14ac:dyDescent="0.2">
      <c r="A157" s="132"/>
      <c r="B157" s="142">
        <v>0.44163833818760878</v>
      </c>
      <c r="C157" s="138">
        <v>2.2485894971355069</v>
      </c>
      <c r="D157" s="138">
        <v>-4.1972712561073919</v>
      </c>
      <c r="E157" s="138">
        <v>0</v>
      </c>
      <c r="F157" s="138">
        <v>-8.8189635504506754</v>
      </c>
      <c r="G157" s="138">
        <v>-6.4834361331633161</v>
      </c>
      <c r="H157" s="138">
        <v>0</v>
      </c>
      <c r="I157" s="133"/>
      <c r="J157" s="142">
        <v>-0.54508087874042843</v>
      </c>
      <c r="K157" s="138">
        <v>-2.7752643578339931</v>
      </c>
      <c r="L157" s="138">
        <v>5.1803752228119473</v>
      </c>
      <c r="M157" s="138">
        <v>0</v>
      </c>
      <c r="N157" s="138">
        <v>10.884581310097595</v>
      </c>
      <c r="O157" s="138">
        <v>8.0020160369791444</v>
      </c>
      <c r="P157" s="138">
        <v>0</v>
      </c>
      <c r="Q157" s="133"/>
      <c r="R157" s="142">
        <v>57.168896891249489</v>
      </c>
      <c r="S157" s="138">
        <v>5.5505287156679888</v>
      </c>
      <c r="T157" s="138">
        <v>-10.360750445623902</v>
      </c>
      <c r="U157" s="138">
        <v>0</v>
      </c>
      <c r="V157" s="138">
        <v>-21.769162620195196</v>
      </c>
      <c r="W157" s="138">
        <v>-2.2862902962797569</v>
      </c>
      <c r="X157" s="138">
        <v>0</v>
      </c>
      <c r="Y157" s="133"/>
      <c r="Z157" s="142">
        <v>51.837028897199623</v>
      </c>
      <c r="AA157" s="138">
        <v>5.0328576039545343</v>
      </c>
      <c r="AB157" s="138">
        <v>-9.3944530934037669</v>
      </c>
      <c r="AC157" s="138">
        <v>0</v>
      </c>
      <c r="AD157" s="138">
        <v>-8.4595103769512985</v>
      </c>
      <c r="AE157" s="138">
        <v>-2.0730589988658865</v>
      </c>
      <c r="AF157" s="138">
        <v>0</v>
      </c>
      <c r="AG157" s="133"/>
      <c r="AH157" s="142">
        <v>12.562738362935917</v>
      </c>
      <c r="AI157" s="138">
        <v>0</v>
      </c>
      <c r="AJ157" s="138">
        <v>0</v>
      </c>
      <c r="AK157" s="138">
        <v>0</v>
      </c>
      <c r="AL157" s="138">
        <v>0</v>
      </c>
      <c r="AM157" s="138">
        <v>3.07304364965105</v>
      </c>
      <c r="AN157" s="138">
        <v>0</v>
      </c>
      <c r="AO157" s="133"/>
      <c r="AP157" s="142">
        <v>89.404474443030296</v>
      </c>
      <c r="AQ157" s="138">
        <v>7.4605648502486446</v>
      </c>
      <c r="AR157" s="138">
        <v>-13.926069849639035</v>
      </c>
      <c r="AS157" s="138">
        <v>0</v>
      </c>
      <c r="AT157" s="138">
        <v>0</v>
      </c>
      <c r="AU157" s="138">
        <v>0</v>
      </c>
      <c r="AV157" s="139">
        <v>0</v>
      </c>
    </row>
    <row r="158" spans="1:48" hidden="1" outlineLevel="1" x14ac:dyDescent="0.2">
      <c r="A158" s="132"/>
      <c r="B158" s="142">
        <v>0</v>
      </c>
      <c r="C158" s="138">
        <v>0</v>
      </c>
      <c r="D158" s="138">
        <v>0</v>
      </c>
      <c r="E158" s="138">
        <v>0</v>
      </c>
      <c r="F158" s="138">
        <v>11.279347169268398</v>
      </c>
      <c r="G158" s="138">
        <v>0</v>
      </c>
      <c r="H158" s="138">
        <v>0</v>
      </c>
      <c r="I158" s="133"/>
      <c r="J158" s="142">
        <v>36.558456974704519</v>
      </c>
      <c r="K158" s="138">
        <v>5.2739069393374143</v>
      </c>
      <c r="L158" s="138">
        <v>-9.8444015824433304</v>
      </c>
      <c r="M158" s="138">
        <v>0</v>
      </c>
      <c r="N158" s="138">
        <v>-20.684252561766137</v>
      </c>
      <c r="O158" s="138">
        <v>-6.5170452455384664</v>
      </c>
      <c r="P158" s="138">
        <v>0</v>
      </c>
      <c r="Q158" s="133"/>
      <c r="R158" s="142">
        <v>-25.858129677111286</v>
      </c>
      <c r="S158" s="138">
        <v>-3.7302824251243236</v>
      </c>
      <c r="T158" s="138">
        <v>6.96303492481952</v>
      </c>
      <c r="U158" s="138">
        <v>0</v>
      </c>
      <c r="V158" s="138">
        <v>14.630160276905212</v>
      </c>
      <c r="W158" s="138">
        <v>4.6095654744765753</v>
      </c>
      <c r="X158" s="138">
        <v>0</v>
      </c>
      <c r="Y158" s="133"/>
      <c r="Z158" s="142">
        <v>12.562738362935917</v>
      </c>
      <c r="AA158" s="138">
        <v>0</v>
      </c>
      <c r="AB158" s="138">
        <v>0</v>
      </c>
      <c r="AC158" s="138">
        <v>0</v>
      </c>
      <c r="AD158" s="138">
        <v>0</v>
      </c>
      <c r="AE158" s="138">
        <v>3.07304364965105</v>
      </c>
      <c r="AF158" s="138">
        <v>0</v>
      </c>
      <c r="AG158" s="133"/>
      <c r="AH158" s="142">
        <v>34.80227674162569</v>
      </c>
      <c r="AI158" s="138">
        <v>3.3789533632681499</v>
      </c>
      <c r="AJ158" s="138">
        <v>-6.3072356450298441</v>
      </c>
      <c r="AK158" s="138">
        <v>0</v>
      </c>
      <c r="AL158" s="138">
        <v>0</v>
      </c>
      <c r="AM158" s="138">
        <v>-1.3918076424350334</v>
      </c>
      <c r="AN158" s="138">
        <v>0</v>
      </c>
      <c r="AO158" s="133"/>
      <c r="AP158" s="142">
        <v>-31.622814238905196</v>
      </c>
      <c r="AQ158" s="138">
        <v>-3.0702593201539301</v>
      </c>
      <c r="AR158" s="138">
        <v>5.7310199170165914</v>
      </c>
      <c r="AS158" s="138">
        <v>0</v>
      </c>
      <c r="AT158" s="138">
        <v>0</v>
      </c>
      <c r="AU158" s="138">
        <v>1.2646550356393638</v>
      </c>
      <c r="AV158" s="139">
        <v>0</v>
      </c>
    </row>
    <row r="159" spans="1:48" hidden="1" outlineLevel="1" x14ac:dyDescent="0.2">
      <c r="A159" s="132"/>
      <c r="B159" s="142">
        <v>35.522625623801105</v>
      </c>
      <c r="C159" s="138">
        <v>0</v>
      </c>
      <c r="D159" s="138">
        <v>0</v>
      </c>
      <c r="E159" s="138">
        <v>0</v>
      </c>
      <c r="F159" s="138">
        <v>0</v>
      </c>
      <c r="G159" s="138">
        <v>8.6893936607179576</v>
      </c>
      <c r="H159" s="138">
        <v>0</v>
      </c>
      <c r="I159" s="133"/>
      <c r="J159" s="142">
        <v>0</v>
      </c>
      <c r="K159" s="138">
        <v>0</v>
      </c>
      <c r="L159" s="138">
        <v>0</v>
      </c>
      <c r="M159" s="138">
        <v>0</v>
      </c>
      <c r="N159" s="138">
        <v>11.279347169268398</v>
      </c>
      <c r="O159" s="138">
        <v>0</v>
      </c>
      <c r="P159" s="138">
        <v>0</v>
      </c>
      <c r="Q159" s="133"/>
      <c r="R159" s="142">
        <v>0</v>
      </c>
      <c r="S159" s="138">
        <v>0</v>
      </c>
      <c r="T159" s="138">
        <v>0</v>
      </c>
      <c r="U159" s="138">
        <v>0</v>
      </c>
      <c r="V159" s="138">
        <v>11.279347169268398</v>
      </c>
      <c r="W159" s="138">
        <v>0</v>
      </c>
      <c r="X159" s="138">
        <v>0</v>
      </c>
      <c r="Y159" s="133"/>
      <c r="Z159" s="142">
        <v>-26.10170755621926</v>
      </c>
      <c r="AA159" s="138">
        <v>-2.5342150224511126</v>
      </c>
      <c r="AB159" s="138">
        <v>4.7304267337723838</v>
      </c>
      <c r="AC159" s="138">
        <v>0</v>
      </c>
      <c r="AD159" s="138">
        <v>9.9391862945511527</v>
      </c>
      <c r="AE159" s="138">
        <v>1.0438557318262749</v>
      </c>
      <c r="AF159" s="138">
        <v>0</v>
      </c>
      <c r="AG159" s="133"/>
      <c r="AH159" s="142">
        <v>-6.127663019178307</v>
      </c>
      <c r="AI159" s="138">
        <v>-0.59493485789284095</v>
      </c>
      <c r="AJ159" s="138">
        <v>1.1105197197936898</v>
      </c>
      <c r="AK159" s="138">
        <v>0</v>
      </c>
      <c r="AL159" s="138">
        <v>1</v>
      </c>
      <c r="AM159" s="138">
        <v>0.24505661752175675</v>
      </c>
      <c r="AN159" s="138">
        <v>0</v>
      </c>
      <c r="AO159" s="133"/>
      <c r="AP159" s="142">
        <v>0</v>
      </c>
      <c r="AQ159" s="138">
        <v>0</v>
      </c>
      <c r="AR159" s="138">
        <v>0</v>
      </c>
      <c r="AS159" s="138">
        <v>0</v>
      </c>
      <c r="AT159" s="138">
        <v>1</v>
      </c>
      <c r="AU159" s="138">
        <v>0</v>
      </c>
      <c r="AV159" s="139">
        <v>0</v>
      </c>
    </row>
    <row r="160" spans="1:48" hidden="1" outlineLevel="1" x14ac:dyDescent="0.2">
      <c r="A160" s="132"/>
      <c r="B160" s="143">
        <f>SUM(B154:B159)</f>
        <v>96.606236432722284</v>
      </c>
      <c r="C160" s="133"/>
      <c r="D160" s="133"/>
      <c r="E160" s="133"/>
      <c r="F160" s="133"/>
      <c r="G160" s="133"/>
      <c r="H160" s="133"/>
      <c r="I160" s="133"/>
      <c r="J160" s="143">
        <f>SUM(J154:J159)</f>
        <v>96.606236432722298</v>
      </c>
      <c r="K160" s="133"/>
      <c r="L160" s="133"/>
      <c r="M160" s="133"/>
      <c r="N160" s="133"/>
      <c r="O160" s="133"/>
      <c r="P160" s="133"/>
      <c r="Q160" s="133"/>
      <c r="R160" s="143">
        <f>SUM(R154:R159)</f>
        <v>96.606236432722341</v>
      </c>
      <c r="S160" s="133"/>
      <c r="T160" s="133"/>
      <c r="U160" s="133"/>
      <c r="V160" s="133"/>
      <c r="W160" s="133"/>
      <c r="X160" s="133"/>
      <c r="Y160" s="133"/>
      <c r="Z160" s="143">
        <f>SUM(Z154:Z159)</f>
        <v>96.606236432722312</v>
      </c>
      <c r="AA160" s="133"/>
      <c r="AB160" s="133"/>
      <c r="AC160" s="133"/>
      <c r="AD160" s="133"/>
      <c r="AE160" s="133"/>
      <c r="AF160" s="133"/>
      <c r="AG160" s="133"/>
      <c r="AH160" s="143">
        <f>SUM(AH154:AH159)</f>
        <v>96.606236432722284</v>
      </c>
      <c r="AI160" s="133"/>
      <c r="AJ160" s="133"/>
      <c r="AK160" s="133"/>
      <c r="AL160" s="133"/>
      <c r="AM160" s="133"/>
      <c r="AN160" s="133"/>
      <c r="AO160" s="133"/>
      <c r="AP160" s="143">
        <f>SUM(AP154:AP159)</f>
        <v>96.606236432722255</v>
      </c>
      <c r="AQ160" s="133"/>
      <c r="AR160" s="133"/>
      <c r="AS160" s="133"/>
      <c r="AT160" s="133"/>
      <c r="AU160" s="133"/>
      <c r="AV160" s="134"/>
    </row>
    <row r="161" spans="1:72" hidden="1" outlineLevel="1" x14ac:dyDescent="0.2">
      <c r="A161" s="132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133"/>
      <c r="AD161" s="133"/>
      <c r="AE161" s="133"/>
      <c r="AF161" s="133"/>
      <c r="AG161" s="133"/>
      <c r="AH161" s="133"/>
      <c r="AI161" s="133"/>
      <c r="AJ161" s="133"/>
      <c r="AK161" s="133"/>
      <c r="AL161" s="133"/>
      <c r="AM161" s="133"/>
      <c r="AN161" s="133"/>
      <c r="AO161" s="133"/>
      <c r="AP161" s="133"/>
      <c r="AQ161" s="133"/>
      <c r="AR161" s="133"/>
      <c r="AS161" s="133"/>
      <c r="AT161" s="133"/>
      <c r="AU161" s="133"/>
      <c r="AV161" s="134"/>
    </row>
    <row r="162" spans="1:72" hidden="1" outlineLevel="1" x14ac:dyDescent="0.2">
      <c r="A162" s="132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  <c r="AH162" s="133"/>
      <c r="AI162" s="133"/>
      <c r="AJ162" s="133"/>
      <c r="AK162" s="133"/>
      <c r="AL162" s="133"/>
      <c r="AM162" s="133"/>
      <c r="AN162" s="133"/>
      <c r="AO162" s="133"/>
      <c r="AP162" s="133"/>
      <c r="AQ162" s="133"/>
      <c r="AR162" s="133"/>
      <c r="AS162" s="133"/>
      <c r="AT162" s="133"/>
      <c r="AU162" s="133"/>
      <c r="AV162" s="134"/>
    </row>
    <row r="163" spans="1:72" hidden="1" outlineLevel="1" x14ac:dyDescent="0.2">
      <c r="A163" s="135" t="s">
        <v>64</v>
      </c>
      <c r="B163" s="136">
        <v>26</v>
      </c>
      <c r="C163" s="136" t="s">
        <v>59</v>
      </c>
      <c r="D163" s="136" t="str">
        <f>$I$202</f>
        <v>strätlingite</v>
      </c>
      <c r="E163" s="136" t="str">
        <f>$J$202</f>
        <v>Ca-stilbite</v>
      </c>
      <c r="F163" s="136" t="str">
        <f>$L$202</f>
        <v>AH3</v>
      </c>
      <c r="G163" s="136" t="str">
        <f>$T$202</f>
        <v>gypsum</v>
      </c>
      <c r="H163" s="136" t="str">
        <f>$U$202</f>
        <v>calcite</v>
      </c>
      <c r="I163" s="133" t="s">
        <v>65</v>
      </c>
      <c r="J163" s="136">
        <v>26</v>
      </c>
      <c r="K163" s="136" t="s">
        <v>59</v>
      </c>
      <c r="L163" s="136" t="str">
        <f>$K$202</f>
        <v>SiO2</v>
      </c>
      <c r="M163" s="136" t="str">
        <f>$J$202</f>
        <v>Ca-stilbite</v>
      </c>
      <c r="N163" s="136" t="str">
        <f>$L$202</f>
        <v>AH3</v>
      </c>
      <c r="O163" s="136" t="str">
        <f>$T$202</f>
        <v>gypsum</v>
      </c>
      <c r="P163" s="136" t="str">
        <f>$U$202</f>
        <v>calcite</v>
      </c>
      <c r="Q163" s="133" t="s">
        <v>66</v>
      </c>
      <c r="R163" s="136">
        <v>26</v>
      </c>
      <c r="S163" s="136" t="s">
        <v>59</v>
      </c>
      <c r="T163" s="136" t="str">
        <f>$I$202</f>
        <v>strätlingite</v>
      </c>
      <c r="U163" s="136" t="str">
        <f>$J$202</f>
        <v>Ca-stilbite</v>
      </c>
      <c r="V163" s="136" t="str">
        <f>$G$202</f>
        <v>C0.67A0.05SH1.8</v>
      </c>
      <c r="W163" s="136" t="str">
        <f>$T$202</f>
        <v>gypsum</v>
      </c>
      <c r="X163" s="136" t="str">
        <f>$U$202</f>
        <v>calcite</v>
      </c>
      <c r="Y163" s="133" t="s">
        <v>67</v>
      </c>
      <c r="Z163" s="136">
        <v>26</v>
      </c>
      <c r="AA163" s="136" t="s">
        <v>59</v>
      </c>
      <c r="AB163" s="136" t="str">
        <f>$K$202</f>
        <v>SiO2</v>
      </c>
      <c r="AC163" s="136" t="str">
        <f>$J$202</f>
        <v>Ca-stilbite</v>
      </c>
      <c r="AD163" s="136" t="str">
        <f>$G$202</f>
        <v>C0.67A0.05SH1.8</v>
      </c>
      <c r="AE163" s="136" t="str">
        <f>$T$202</f>
        <v>gypsum</v>
      </c>
      <c r="AF163" s="136" t="str">
        <f>$U$202</f>
        <v>calcite</v>
      </c>
      <c r="AG163" s="133" t="s">
        <v>68</v>
      </c>
      <c r="AH163" s="136">
        <v>26</v>
      </c>
      <c r="AI163" s="136" t="s">
        <v>59</v>
      </c>
      <c r="AJ163" s="136" t="str">
        <f>$K$202</f>
        <v>SiO2</v>
      </c>
      <c r="AK163" s="136" t="str">
        <f>$H$202</f>
        <v>C0.67SH1.8</v>
      </c>
      <c r="AL163" s="136" t="str">
        <f>$G$202</f>
        <v>C0.67A0.05SH1.8</v>
      </c>
      <c r="AM163" s="136" t="str">
        <f>$T$202</f>
        <v>gypsum</v>
      </c>
      <c r="AN163" s="136" t="str">
        <f>$U$202</f>
        <v>calcite</v>
      </c>
      <c r="AO163" s="133" t="s">
        <v>69</v>
      </c>
      <c r="AP163" s="136">
        <v>26</v>
      </c>
      <c r="AQ163" s="136" t="s">
        <v>59</v>
      </c>
      <c r="AR163" s="136" t="str">
        <f>$F$202</f>
        <v>C1.3A0.1SH3</v>
      </c>
      <c r="AS163" s="136" t="str">
        <f>$I$202</f>
        <v>strätlingite</v>
      </c>
      <c r="AT163" s="136" t="str">
        <f>$G$202</f>
        <v>C0.67A0.05SH1.8</v>
      </c>
      <c r="AU163" s="136" t="str">
        <f>$T$202</f>
        <v>gypsum</v>
      </c>
      <c r="AV163" s="137" t="str">
        <f>$U$202</f>
        <v>calcite</v>
      </c>
      <c r="AW163" s="138" t="s">
        <v>70</v>
      </c>
      <c r="AX163" s="136">
        <v>26</v>
      </c>
      <c r="AY163" s="136" t="s">
        <v>59</v>
      </c>
      <c r="AZ163" s="136" t="str">
        <f>$F$202</f>
        <v>C1.3A0.1SH3</v>
      </c>
      <c r="BA163" s="136" t="str">
        <f>$H$202</f>
        <v>C0.67SH1.8</v>
      </c>
      <c r="BB163" s="136" t="str">
        <f>$G$202</f>
        <v>C0.67A0.05SH1.8</v>
      </c>
      <c r="BC163" s="136" t="str">
        <f>$T$202</f>
        <v>gypsum</v>
      </c>
      <c r="BD163" s="137" t="str">
        <f>$U$202</f>
        <v>calcite</v>
      </c>
      <c r="BE163" s="138" t="s">
        <v>71</v>
      </c>
      <c r="BF163" s="136">
        <v>26</v>
      </c>
      <c r="BG163" s="136" t="s">
        <v>59</v>
      </c>
      <c r="BH163" s="136" t="str">
        <f>$F$202</f>
        <v>C1.3A0.1SH3</v>
      </c>
      <c r="BI163" s="136" t="str">
        <f>$E$202</f>
        <v>C1.75A0.05SH4.3</v>
      </c>
      <c r="BJ163" s="136" t="str">
        <f>$D$202</f>
        <v>C1.75SH4.4</v>
      </c>
      <c r="BK163" s="136" t="str">
        <f>$T$202</f>
        <v>gypsum</v>
      </c>
      <c r="BL163" s="137" t="str">
        <f>$U$202</f>
        <v>calcite</v>
      </c>
      <c r="BM163" s="138" t="s">
        <v>72</v>
      </c>
      <c r="BN163" s="136">
        <v>26</v>
      </c>
      <c r="BO163" s="136" t="s">
        <v>59</v>
      </c>
      <c r="BP163" s="136" t="str">
        <f>$F$202</f>
        <v>C1.3A0.1SH3</v>
      </c>
      <c r="BQ163" s="136" t="str">
        <f>$H$202</f>
        <v>C0.67SH1.8</v>
      </c>
      <c r="BR163" s="136" t="str">
        <f>$D$202</f>
        <v>C1.75SH4.4</v>
      </c>
      <c r="BS163" s="136" t="str">
        <f>$T$202</f>
        <v>gypsum</v>
      </c>
      <c r="BT163" s="137" t="str">
        <f>$U$202</f>
        <v>calcite</v>
      </c>
    </row>
    <row r="164" spans="1:72" hidden="1" outlineLevel="1" x14ac:dyDescent="0.2">
      <c r="A164" s="132"/>
      <c r="B164" s="133"/>
      <c r="C164" s="138">
        <v>0</v>
      </c>
      <c r="D164" s="138">
        <f>$I$203</f>
        <v>0.26810599086468712</v>
      </c>
      <c r="E164" s="138">
        <f>$J$203</f>
        <v>8.8921476117117551E-2</v>
      </c>
      <c r="F164" s="138">
        <f>$L$203</f>
        <v>0</v>
      </c>
      <c r="G164" s="138">
        <f>$T$203</f>
        <v>0</v>
      </c>
      <c r="H164" s="138">
        <f>$U$203</f>
        <v>0</v>
      </c>
      <c r="I164" s="133"/>
      <c r="J164" s="133"/>
      <c r="K164" s="138">
        <v>0</v>
      </c>
      <c r="L164" s="138">
        <f>$K$203</f>
        <v>0</v>
      </c>
      <c r="M164" s="138">
        <f>$J$203</f>
        <v>8.8921476117117551E-2</v>
      </c>
      <c r="N164" s="138">
        <f>$L$203</f>
        <v>0</v>
      </c>
      <c r="O164" s="138">
        <f>$T$203</f>
        <v>0</v>
      </c>
      <c r="P164" s="138">
        <f>$U$203</f>
        <v>0</v>
      </c>
      <c r="Q164" s="133"/>
      <c r="R164" s="133"/>
      <c r="S164" s="138">
        <v>0</v>
      </c>
      <c r="T164" s="138">
        <f>$I$203</f>
        <v>0.26810599086468712</v>
      </c>
      <c r="U164" s="138">
        <f>$J$203</f>
        <v>8.8921476117117551E-2</v>
      </c>
      <c r="V164" s="138">
        <f>$G$203</f>
        <v>0.26974658269181312</v>
      </c>
      <c r="W164" s="138">
        <f>$T$203</f>
        <v>0</v>
      </c>
      <c r="X164" s="138">
        <f>$U$203</f>
        <v>0</v>
      </c>
      <c r="Y164" s="133"/>
      <c r="Z164" s="133"/>
      <c r="AA164" s="138">
        <v>0</v>
      </c>
      <c r="AB164" s="138">
        <f>$K$203</f>
        <v>0</v>
      </c>
      <c r="AC164" s="138">
        <f>$J$203</f>
        <v>8.8921476117117551E-2</v>
      </c>
      <c r="AD164" s="138">
        <f>$G$203</f>
        <v>0.26974658269181312</v>
      </c>
      <c r="AE164" s="138">
        <f>$T$203</f>
        <v>0</v>
      </c>
      <c r="AF164" s="138">
        <f>$U$203</f>
        <v>0</v>
      </c>
      <c r="AG164" s="133"/>
      <c r="AH164" s="133"/>
      <c r="AI164" s="138">
        <v>0</v>
      </c>
      <c r="AJ164" s="138">
        <f>$K$203</f>
        <v>0</v>
      </c>
      <c r="AK164" s="138">
        <f>$H$203</f>
        <v>0.28004746800509844</v>
      </c>
      <c r="AL164" s="138">
        <f>$G$203</f>
        <v>0.26974658269181312</v>
      </c>
      <c r="AM164" s="138">
        <f>$T$203</f>
        <v>0</v>
      </c>
      <c r="AN164" s="138">
        <f>$U$203</f>
        <v>0</v>
      </c>
      <c r="AO164" s="133"/>
      <c r="AP164" s="133"/>
      <c r="AQ164" s="138">
        <v>0</v>
      </c>
      <c r="AR164" s="138">
        <f>$F$203</f>
        <v>0.36962820238752458</v>
      </c>
      <c r="AS164" s="138">
        <f>$I$203</f>
        <v>0.26810599086468712</v>
      </c>
      <c r="AT164" s="138">
        <f>$G$203</f>
        <v>0.26974658269181312</v>
      </c>
      <c r="AU164" s="138">
        <f>$T$203</f>
        <v>0</v>
      </c>
      <c r="AV164" s="139">
        <f>$U$203</f>
        <v>0</v>
      </c>
      <c r="AW164" s="133"/>
      <c r="AX164" s="133"/>
      <c r="AY164" s="138">
        <v>0</v>
      </c>
      <c r="AZ164" s="138">
        <f>$F$203</f>
        <v>0.36962820238752458</v>
      </c>
      <c r="BA164" s="138">
        <f>$H$203</f>
        <v>0.28004746800509844</v>
      </c>
      <c r="BB164" s="138">
        <f>$G$203</f>
        <v>0.26974658269181312</v>
      </c>
      <c r="BC164" s="138">
        <f>$T$203</f>
        <v>0</v>
      </c>
      <c r="BD164" s="139">
        <f>$U$203</f>
        <v>0</v>
      </c>
      <c r="BE164" s="133"/>
      <c r="BF164" s="133"/>
      <c r="BG164" s="138">
        <v>0</v>
      </c>
      <c r="BH164" s="138">
        <f>$F$203</f>
        <v>0.36962820238752458</v>
      </c>
      <c r="BI164" s="138">
        <f>$E$203</f>
        <v>0.41692537379616368</v>
      </c>
      <c r="BJ164" s="138">
        <f>$D$203</f>
        <v>0.42615545963501011</v>
      </c>
      <c r="BK164" s="138">
        <f>$T$203</f>
        <v>0</v>
      </c>
      <c r="BL164" s="139">
        <f>$U$203</f>
        <v>0</v>
      </c>
      <c r="BM164" s="133"/>
      <c r="BN164" s="133"/>
      <c r="BO164" s="138">
        <v>0</v>
      </c>
      <c r="BP164" s="138">
        <f>$F$203</f>
        <v>0.36962820238752458</v>
      </c>
      <c r="BQ164" s="138">
        <f>$H$203</f>
        <v>0.28004746800509844</v>
      </c>
      <c r="BR164" s="138">
        <f>$D$203</f>
        <v>0.42615545963501011</v>
      </c>
      <c r="BS164" s="138">
        <f>$T$203</f>
        <v>0</v>
      </c>
      <c r="BT164" s="139">
        <f>$U$203</f>
        <v>0</v>
      </c>
    </row>
    <row r="165" spans="1:72" hidden="1" outlineLevel="1" x14ac:dyDescent="0.2">
      <c r="A165" s="132"/>
      <c r="B165" s="133"/>
      <c r="C165" s="138">
        <v>0</v>
      </c>
      <c r="D165" s="138">
        <f>$I$204</f>
        <v>0.1436314877910809</v>
      </c>
      <c r="E165" s="138">
        <f>$J$204</f>
        <v>0.57165110873154523</v>
      </c>
      <c r="F165" s="138">
        <f>$L$204</f>
        <v>0</v>
      </c>
      <c r="G165" s="138">
        <f>$T$204</f>
        <v>0</v>
      </c>
      <c r="H165" s="138">
        <f>$U$204</f>
        <v>0</v>
      </c>
      <c r="I165" s="133"/>
      <c r="J165" s="133"/>
      <c r="K165" s="138">
        <v>0</v>
      </c>
      <c r="L165" s="138">
        <f>$K$204</f>
        <v>0.99999999999999989</v>
      </c>
      <c r="M165" s="138">
        <f>$J$204</f>
        <v>0.57165110873154523</v>
      </c>
      <c r="N165" s="138">
        <f>$L$204</f>
        <v>0</v>
      </c>
      <c r="O165" s="138">
        <f>$T$204</f>
        <v>0</v>
      </c>
      <c r="P165" s="138">
        <f>$U$204</f>
        <v>0</v>
      </c>
      <c r="Q165" s="133"/>
      <c r="R165" s="133"/>
      <c r="S165" s="138">
        <v>0</v>
      </c>
      <c r="T165" s="138">
        <f>$I$204</f>
        <v>0.1436314877910809</v>
      </c>
      <c r="U165" s="138">
        <f>$J$204</f>
        <v>0.57165110873154523</v>
      </c>
      <c r="V165" s="138">
        <f>$G$204</f>
        <v>0.43350951351747569</v>
      </c>
      <c r="W165" s="138">
        <f>$T$204</f>
        <v>0</v>
      </c>
      <c r="X165" s="138">
        <f>$U$204</f>
        <v>0</v>
      </c>
      <c r="Y165" s="133"/>
      <c r="Z165" s="133"/>
      <c r="AA165" s="138">
        <v>0</v>
      </c>
      <c r="AB165" s="138">
        <f>$K$204</f>
        <v>0.99999999999999989</v>
      </c>
      <c r="AC165" s="138">
        <f>$J$204</f>
        <v>0.57165110873154523</v>
      </c>
      <c r="AD165" s="138">
        <f>$G$204</f>
        <v>0.43350951351747569</v>
      </c>
      <c r="AE165" s="138">
        <f>$T$204</f>
        <v>0</v>
      </c>
      <c r="AF165" s="138">
        <f>$U$204</f>
        <v>0</v>
      </c>
      <c r="AG165" s="133"/>
      <c r="AH165" s="133"/>
      <c r="AI165" s="138">
        <v>0</v>
      </c>
      <c r="AJ165" s="138">
        <f>$K$204</f>
        <v>0.99999999999999989</v>
      </c>
      <c r="AK165" s="138">
        <f>$H$204</f>
        <v>0.45006405792133763</v>
      </c>
      <c r="AL165" s="138">
        <f>$G$204</f>
        <v>0.43350951351747569</v>
      </c>
      <c r="AM165" s="138">
        <f>$T$204</f>
        <v>0</v>
      </c>
      <c r="AN165" s="138">
        <f>$U$204</f>
        <v>0</v>
      </c>
      <c r="AO165" s="133"/>
      <c r="AP165" s="133"/>
      <c r="AQ165" s="138">
        <v>0</v>
      </c>
      <c r="AR165" s="138">
        <f>$F$204</f>
        <v>0.30464558189920393</v>
      </c>
      <c r="AS165" s="138">
        <f>$I$204</f>
        <v>0.1436314877910809</v>
      </c>
      <c r="AT165" s="138">
        <f>$G$204</f>
        <v>0.43350951351747569</v>
      </c>
      <c r="AU165" s="138">
        <f>$T$204</f>
        <v>0</v>
      </c>
      <c r="AV165" s="139">
        <f>$U$204</f>
        <v>0</v>
      </c>
      <c r="AW165" s="133"/>
      <c r="AX165" s="133"/>
      <c r="AY165" s="138">
        <v>0</v>
      </c>
      <c r="AZ165" s="138">
        <f>$F$204</f>
        <v>0.30464558189920393</v>
      </c>
      <c r="BA165" s="138">
        <f>$H$204</f>
        <v>0.45006405792133763</v>
      </c>
      <c r="BB165" s="138">
        <f>$G$204</f>
        <v>0.43350951351747569</v>
      </c>
      <c r="BC165" s="138">
        <f>$T$204</f>
        <v>0</v>
      </c>
      <c r="BD165" s="139">
        <f>$U$204</f>
        <v>0</v>
      </c>
      <c r="BE165" s="133"/>
      <c r="BF165" s="133"/>
      <c r="BG165" s="138">
        <v>0</v>
      </c>
      <c r="BH165" s="138">
        <f>$F$204</f>
        <v>0.30464558189920393</v>
      </c>
      <c r="BI165" s="138">
        <f>$E$204</f>
        <v>0.25526625940759262</v>
      </c>
      <c r="BJ165" s="138">
        <f>$D$204</f>
        <v>0.26091746135925231</v>
      </c>
      <c r="BK165" s="138">
        <f>$T$204</f>
        <v>0</v>
      </c>
      <c r="BL165" s="139">
        <f>$U$204</f>
        <v>0</v>
      </c>
      <c r="BM165" s="133"/>
      <c r="BN165" s="133"/>
      <c r="BO165" s="138">
        <v>0</v>
      </c>
      <c r="BP165" s="138">
        <f>$F$204</f>
        <v>0.30464558189920393</v>
      </c>
      <c r="BQ165" s="138">
        <f>$H$204</f>
        <v>0.45006405792133763</v>
      </c>
      <c r="BR165" s="138">
        <f>$D$204</f>
        <v>0.26091746135925231</v>
      </c>
      <c r="BS165" s="138">
        <f>$T$204</f>
        <v>0</v>
      </c>
      <c r="BT165" s="139">
        <f>$U$204</f>
        <v>0</v>
      </c>
    </row>
    <row r="166" spans="1:72" hidden="1" outlineLevel="1" x14ac:dyDescent="0.2">
      <c r="A166" s="132"/>
      <c r="B166" s="133"/>
      <c r="C166" s="138">
        <v>0</v>
      </c>
      <c r="D166" s="138">
        <f>$I$205</f>
        <v>0.24373838184384281</v>
      </c>
      <c r="E166" s="138">
        <f>$J$205</f>
        <v>0.16167916748186939</v>
      </c>
      <c r="F166" s="138">
        <f>$L$205</f>
        <v>0.65356811475743049</v>
      </c>
      <c r="G166" s="138">
        <f>$T$205</f>
        <v>0</v>
      </c>
      <c r="H166" s="138">
        <f>$U$205</f>
        <v>0</v>
      </c>
      <c r="I166" s="133"/>
      <c r="J166" s="133"/>
      <c r="K166" s="138">
        <v>0</v>
      </c>
      <c r="L166" s="138">
        <f>$K$205</f>
        <v>0</v>
      </c>
      <c r="M166" s="138">
        <f>$J$205</f>
        <v>0.16167916748186939</v>
      </c>
      <c r="N166" s="138">
        <f>$L$205</f>
        <v>0.65356811475743049</v>
      </c>
      <c r="O166" s="138">
        <f>$T$205</f>
        <v>0</v>
      </c>
      <c r="P166" s="138">
        <f>$U$205</f>
        <v>0</v>
      </c>
      <c r="Q166" s="133"/>
      <c r="R166" s="133"/>
      <c r="S166" s="138">
        <v>0</v>
      </c>
      <c r="T166" s="138">
        <f>$I$205</f>
        <v>0.24373838184384281</v>
      </c>
      <c r="U166" s="138">
        <f>$J$205</f>
        <v>0.16167916748186939</v>
      </c>
      <c r="V166" s="138">
        <f>$G$205</f>
        <v>3.6782640409724413E-2</v>
      </c>
      <c r="W166" s="138">
        <f>$T$205</f>
        <v>0</v>
      </c>
      <c r="X166" s="138">
        <f>$U$205</f>
        <v>0</v>
      </c>
      <c r="Y166" s="133"/>
      <c r="Z166" s="133"/>
      <c r="AA166" s="138">
        <v>0</v>
      </c>
      <c r="AB166" s="138">
        <f>$K$205</f>
        <v>0</v>
      </c>
      <c r="AC166" s="138">
        <f>$J$205</f>
        <v>0.16167916748186939</v>
      </c>
      <c r="AD166" s="138">
        <f>$G$205</f>
        <v>3.6782640409724413E-2</v>
      </c>
      <c r="AE166" s="138">
        <f>$T$205</f>
        <v>0</v>
      </c>
      <c r="AF166" s="138">
        <f>$U$205</f>
        <v>0</v>
      </c>
      <c r="AG166" s="133"/>
      <c r="AH166" s="133"/>
      <c r="AI166" s="138">
        <v>0</v>
      </c>
      <c r="AJ166" s="138">
        <f>$K$205</f>
        <v>0</v>
      </c>
      <c r="AK166" s="138">
        <f>$H$205</f>
        <v>0</v>
      </c>
      <c r="AL166" s="138">
        <f>$G$205</f>
        <v>3.6782640409724413E-2</v>
      </c>
      <c r="AM166" s="138">
        <f>$T$205</f>
        <v>0</v>
      </c>
      <c r="AN166" s="138">
        <f>$U$205</f>
        <v>0</v>
      </c>
      <c r="AO166" s="133"/>
      <c r="AP166" s="133"/>
      <c r="AQ166" s="138">
        <v>0</v>
      </c>
      <c r="AR166" s="138">
        <f>$F$205</f>
        <v>5.169745319076114E-2</v>
      </c>
      <c r="AS166" s="138">
        <f>$I$205</f>
        <v>0.24373838184384281</v>
      </c>
      <c r="AT166" s="138">
        <f>$G$205</f>
        <v>3.6782640409724413E-2</v>
      </c>
      <c r="AU166" s="138">
        <f>$T$205</f>
        <v>0</v>
      </c>
      <c r="AV166" s="139">
        <f>$U$205</f>
        <v>0</v>
      </c>
      <c r="AW166" s="133"/>
      <c r="AX166" s="133"/>
      <c r="AY166" s="138">
        <v>0</v>
      </c>
      <c r="AZ166" s="138">
        <f>$F$205</f>
        <v>5.169745319076114E-2</v>
      </c>
      <c r="BA166" s="138">
        <f>$H$205</f>
        <v>0</v>
      </c>
      <c r="BB166" s="138">
        <f>$G$205</f>
        <v>3.6782640409724413E-2</v>
      </c>
      <c r="BC166" s="138">
        <f>$T$205</f>
        <v>0</v>
      </c>
      <c r="BD166" s="139">
        <f>$U$205</f>
        <v>0</v>
      </c>
      <c r="BE166" s="133"/>
      <c r="BF166" s="133"/>
      <c r="BG166" s="138">
        <v>0</v>
      </c>
      <c r="BH166" s="138">
        <f>$F$205</f>
        <v>5.169745319076114E-2</v>
      </c>
      <c r="BI166" s="138">
        <f>$E$205</f>
        <v>2.1658964188213614E-2</v>
      </c>
      <c r="BJ166" s="138">
        <f>$D$205</f>
        <v>0</v>
      </c>
      <c r="BK166" s="138">
        <f>$T$205</f>
        <v>0</v>
      </c>
      <c r="BL166" s="139">
        <f>$U$205</f>
        <v>0</v>
      </c>
      <c r="BM166" s="133"/>
      <c r="BN166" s="133"/>
      <c r="BO166" s="138">
        <v>0</v>
      </c>
      <c r="BP166" s="138">
        <f>$F$205</f>
        <v>5.169745319076114E-2</v>
      </c>
      <c r="BQ166" s="138">
        <f>$H$205</f>
        <v>0</v>
      </c>
      <c r="BR166" s="138">
        <f>$D$205</f>
        <v>0</v>
      </c>
      <c r="BS166" s="138">
        <f>$T$205</f>
        <v>0</v>
      </c>
      <c r="BT166" s="139">
        <f>$U$205</f>
        <v>0</v>
      </c>
    </row>
    <row r="167" spans="1:72" hidden="1" outlineLevel="1" x14ac:dyDescent="0.2">
      <c r="A167" s="132"/>
      <c r="B167" s="133"/>
      <c r="C167" s="138">
        <v>0</v>
      </c>
      <c r="D167" s="138">
        <f>$I$206</f>
        <v>0</v>
      </c>
      <c r="E167" s="138">
        <f>$J$206</f>
        <v>0</v>
      </c>
      <c r="F167" s="138">
        <f>$L$206</f>
        <v>0</v>
      </c>
      <c r="G167" s="138">
        <f>$T$206</f>
        <v>0</v>
      </c>
      <c r="H167" s="138">
        <f>$U$206</f>
        <v>1</v>
      </c>
      <c r="I167" s="133"/>
      <c r="J167" s="133"/>
      <c r="K167" s="138">
        <v>0</v>
      </c>
      <c r="L167" s="138">
        <f>$K$206</f>
        <v>0</v>
      </c>
      <c r="M167" s="138">
        <f>$J$206</f>
        <v>0</v>
      </c>
      <c r="N167" s="138">
        <f>$L$206</f>
        <v>0</v>
      </c>
      <c r="O167" s="138">
        <f>$T$206</f>
        <v>0</v>
      </c>
      <c r="P167" s="138">
        <f>$U$206</f>
        <v>1</v>
      </c>
      <c r="Q167" s="133"/>
      <c r="R167" s="133"/>
      <c r="S167" s="138">
        <v>0</v>
      </c>
      <c r="T167" s="138">
        <f>$I$206</f>
        <v>0</v>
      </c>
      <c r="U167" s="138">
        <f>$J$206</f>
        <v>0</v>
      </c>
      <c r="V167" s="138">
        <f>$G$206</f>
        <v>0</v>
      </c>
      <c r="W167" s="138">
        <f>$T$206</f>
        <v>0</v>
      </c>
      <c r="X167" s="138">
        <f>$U$206</f>
        <v>1</v>
      </c>
      <c r="Y167" s="133"/>
      <c r="Z167" s="133"/>
      <c r="AA167" s="138">
        <v>0</v>
      </c>
      <c r="AB167" s="138">
        <f>$K$206</f>
        <v>0</v>
      </c>
      <c r="AC167" s="138">
        <f>$J$206</f>
        <v>0</v>
      </c>
      <c r="AD167" s="138">
        <f>$G$206</f>
        <v>0</v>
      </c>
      <c r="AE167" s="138">
        <f>$T$206</f>
        <v>0</v>
      </c>
      <c r="AF167" s="138">
        <f>$U$206</f>
        <v>1</v>
      </c>
      <c r="AG167" s="133"/>
      <c r="AH167" s="133"/>
      <c r="AI167" s="138">
        <v>0</v>
      </c>
      <c r="AJ167" s="138">
        <f>$K$206</f>
        <v>0</v>
      </c>
      <c r="AK167" s="138">
        <f>$H$206</f>
        <v>0</v>
      </c>
      <c r="AL167" s="138">
        <f>$G$206</f>
        <v>0</v>
      </c>
      <c r="AM167" s="138">
        <f>$T$206</f>
        <v>0</v>
      </c>
      <c r="AN167" s="138">
        <f>$U$206</f>
        <v>1</v>
      </c>
      <c r="AO167" s="133"/>
      <c r="AP167" s="133"/>
      <c r="AQ167" s="138">
        <v>0</v>
      </c>
      <c r="AR167" s="138">
        <f>$F$206</f>
        <v>0</v>
      </c>
      <c r="AS167" s="138">
        <f>$I$206</f>
        <v>0</v>
      </c>
      <c r="AT167" s="138">
        <f>$G$206</f>
        <v>0</v>
      </c>
      <c r="AU167" s="138">
        <f>$T$206</f>
        <v>0</v>
      </c>
      <c r="AV167" s="139">
        <f>$U$206</f>
        <v>1</v>
      </c>
      <c r="AW167" s="133"/>
      <c r="AX167" s="133"/>
      <c r="AY167" s="138">
        <v>0</v>
      </c>
      <c r="AZ167" s="138">
        <f>$F$206</f>
        <v>0</v>
      </c>
      <c r="BA167" s="138">
        <f>$H$206</f>
        <v>0</v>
      </c>
      <c r="BB167" s="138">
        <f>$G$206</f>
        <v>0</v>
      </c>
      <c r="BC167" s="138">
        <f>$T$206</f>
        <v>0</v>
      </c>
      <c r="BD167" s="139">
        <f>$U$206</f>
        <v>1</v>
      </c>
      <c r="BE167" s="133"/>
      <c r="BF167" s="133"/>
      <c r="BG167" s="138">
        <v>0</v>
      </c>
      <c r="BH167" s="138">
        <f>$F$206</f>
        <v>0</v>
      </c>
      <c r="BI167" s="138">
        <f>$E$206</f>
        <v>0</v>
      </c>
      <c r="BJ167" s="138">
        <f>$D$206</f>
        <v>0</v>
      </c>
      <c r="BK167" s="138">
        <f>$T$206</f>
        <v>0</v>
      </c>
      <c r="BL167" s="139">
        <f>$U$206</f>
        <v>1</v>
      </c>
      <c r="BM167" s="133"/>
      <c r="BN167" s="133"/>
      <c r="BO167" s="138">
        <v>0</v>
      </c>
      <c r="BP167" s="138">
        <f>$F$206</f>
        <v>0</v>
      </c>
      <c r="BQ167" s="138">
        <f>$H$206</f>
        <v>0</v>
      </c>
      <c r="BR167" s="138">
        <f>$D$206</f>
        <v>0</v>
      </c>
      <c r="BS167" s="138">
        <f>$T$206</f>
        <v>0</v>
      </c>
      <c r="BT167" s="139">
        <f>$U$206</f>
        <v>1</v>
      </c>
    </row>
    <row r="168" spans="1:72" hidden="1" outlineLevel="1" x14ac:dyDescent="0.2">
      <c r="A168" s="132"/>
      <c r="B168" s="133"/>
      <c r="C168" s="138">
        <v>0</v>
      </c>
      <c r="D168" s="138">
        <f>$I$207</f>
        <v>0</v>
      </c>
      <c r="E168" s="138">
        <f>$J$207</f>
        <v>0</v>
      </c>
      <c r="F168" s="138">
        <f>$L$207</f>
        <v>0</v>
      </c>
      <c r="G168" s="138">
        <f>$T$207</f>
        <v>0.79072946520505982</v>
      </c>
      <c r="H168" s="138">
        <f>$U$207</f>
        <v>0</v>
      </c>
      <c r="I168" s="133"/>
      <c r="J168" s="133"/>
      <c r="K168" s="138">
        <v>0</v>
      </c>
      <c r="L168" s="138">
        <f>$K$207</f>
        <v>0</v>
      </c>
      <c r="M168" s="138">
        <f>$J$207</f>
        <v>0</v>
      </c>
      <c r="N168" s="138">
        <f>$L$207</f>
        <v>0</v>
      </c>
      <c r="O168" s="138">
        <f>$T$207</f>
        <v>0.79072946520505982</v>
      </c>
      <c r="P168" s="138">
        <f>$U$207</f>
        <v>0</v>
      </c>
      <c r="Q168" s="133"/>
      <c r="R168" s="133"/>
      <c r="S168" s="138">
        <v>0</v>
      </c>
      <c r="T168" s="138">
        <f>$I$207</f>
        <v>0</v>
      </c>
      <c r="U168" s="138">
        <f>$J$207</f>
        <v>0</v>
      </c>
      <c r="V168" s="138">
        <f>$G$207</f>
        <v>0</v>
      </c>
      <c r="W168" s="138">
        <f>$T$207</f>
        <v>0.79072946520505982</v>
      </c>
      <c r="X168" s="138">
        <f>$U$207</f>
        <v>0</v>
      </c>
      <c r="Y168" s="133"/>
      <c r="Z168" s="133"/>
      <c r="AA168" s="138">
        <v>0</v>
      </c>
      <c r="AB168" s="138">
        <f>$K$207</f>
        <v>0</v>
      </c>
      <c r="AC168" s="138">
        <f>$J$207</f>
        <v>0</v>
      </c>
      <c r="AD168" s="138">
        <f>$G$207</f>
        <v>0</v>
      </c>
      <c r="AE168" s="138">
        <f>$T$207</f>
        <v>0.79072946520505982</v>
      </c>
      <c r="AF168" s="138">
        <f>$U$207</f>
        <v>0</v>
      </c>
      <c r="AG168" s="133"/>
      <c r="AH168" s="133"/>
      <c r="AI168" s="138">
        <v>0</v>
      </c>
      <c r="AJ168" s="138">
        <f>$K$207</f>
        <v>0</v>
      </c>
      <c r="AK168" s="138">
        <f>$H$207</f>
        <v>0</v>
      </c>
      <c r="AL168" s="138">
        <f>$G$207</f>
        <v>0</v>
      </c>
      <c r="AM168" s="138">
        <f>$T$207</f>
        <v>0.79072946520505982</v>
      </c>
      <c r="AN168" s="138">
        <f>$U$207</f>
        <v>0</v>
      </c>
      <c r="AO168" s="133"/>
      <c r="AP168" s="133"/>
      <c r="AQ168" s="138">
        <v>0</v>
      </c>
      <c r="AR168" s="138">
        <f>$F$207</f>
        <v>0</v>
      </c>
      <c r="AS168" s="138">
        <f>$I$207</f>
        <v>0</v>
      </c>
      <c r="AT168" s="138">
        <f>$G$207</f>
        <v>0</v>
      </c>
      <c r="AU168" s="138">
        <f>$T$207</f>
        <v>0.79072946520505982</v>
      </c>
      <c r="AV168" s="139">
        <f>$U$207</f>
        <v>0</v>
      </c>
      <c r="AW168" s="133"/>
      <c r="AX168" s="133"/>
      <c r="AY168" s="138">
        <v>0</v>
      </c>
      <c r="AZ168" s="138">
        <f>$F$207</f>
        <v>0</v>
      </c>
      <c r="BA168" s="138">
        <f>$H$207</f>
        <v>0</v>
      </c>
      <c r="BB168" s="138">
        <f>$G$207</f>
        <v>0</v>
      </c>
      <c r="BC168" s="138">
        <f>$T$207</f>
        <v>0.79072946520505982</v>
      </c>
      <c r="BD168" s="139">
        <f>$U$207</f>
        <v>0</v>
      </c>
      <c r="BE168" s="133"/>
      <c r="BF168" s="133"/>
      <c r="BG168" s="138">
        <v>0</v>
      </c>
      <c r="BH168" s="138">
        <f>$F$207</f>
        <v>0</v>
      </c>
      <c r="BI168" s="138">
        <f>$E$207</f>
        <v>0</v>
      </c>
      <c r="BJ168" s="138">
        <f>$D$207</f>
        <v>0</v>
      </c>
      <c r="BK168" s="138">
        <f>$T$207</f>
        <v>0.79072946520505982</v>
      </c>
      <c r="BL168" s="139">
        <f>$U$207</f>
        <v>0</v>
      </c>
      <c r="BM168" s="133"/>
      <c r="BN168" s="133"/>
      <c r="BO168" s="138">
        <v>0</v>
      </c>
      <c r="BP168" s="138">
        <f>$F$207</f>
        <v>0</v>
      </c>
      <c r="BQ168" s="138">
        <f>$H$207</f>
        <v>0</v>
      </c>
      <c r="BR168" s="138">
        <f>$D$207</f>
        <v>0</v>
      </c>
      <c r="BS168" s="138">
        <f>$T$207</f>
        <v>0.79072946520505982</v>
      </c>
      <c r="BT168" s="139">
        <f>$U$207</f>
        <v>0</v>
      </c>
    </row>
    <row r="169" spans="1:72" hidden="1" outlineLevel="1" x14ac:dyDescent="0.2">
      <c r="A169" s="132"/>
      <c r="B169" s="133"/>
      <c r="C169" s="138">
        <v>1</v>
      </c>
      <c r="D169" s="138">
        <f>$I$208</f>
        <v>0.34452413950038913</v>
      </c>
      <c r="E169" s="138">
        <f>$J$208</f>
        <v>0.17774824766946792</v>
      </c>
      <c r="F169" s="138">
        <f>$L$208</f>
        <v>0.34643188524256951</v>
      </c>
      <c r="G169" s="138">
        <f>$T$208</f>
        <v>0.20927053479494012</v>
      </c>
      <c r="H169" s="138">
        <f>$U$208</f>
        <v>0</v>
      </c>
      <c r="I169" s="133"/>
      <c r="J169" s="133"/>
      <c r="K169" s="138">
        <v>1</v>
      </c>
      <c r="L169" s="138">
        <f>$K$208</f>
        <v>0</v>
      </c>
      <c r="M169" s="138">
        <f>$J$208</f>
        <v>0.17774824766946792</v>
      </c>
      <c r="N169" s="138">
        <f>$L$208</f>
        <v>0.34643188524256951</v>
      </c>
      <c r="O169" s="138">
        <f>$T$208</f>
        <v>0.20927053479494012</v>
      </c>
      <c r="P169" s="138">
        <f>$U$208</f>
        <v>0</v>
      </c>
      <c r="Q169" s="133"/>
      <c r="R169" s="133"/>
      <c r="S169" s="138">
        <v>1</v>
      </c>
      <c r="T169" s="138">
        <f>$I$208</f>
        <v>0.34452413950038913</v>
      </c>
      <c r="U169" s="138">
        <f>$J$208</f>
        <v>0.17774824766946792</v>
      </c>
      <c r="V169" s="138">
        <f>$G$208</f>
        <v>0.25996126338098668</v>
      </c>
      <c r="W169" s="138">
        <f>$T$208</f>
        <v>0.20927053479494012</v>
      </c>
      <c r="X169" s="138">
        <f>$U$208</f>
        <v>0</v>
      </c>
      <c r="Y169" s="133"/>
      <c r="Z169" s="133"/>
      <c r="AA169" s="138">
        <v>1</v>
      </c>
      <c r="AB169" s="138">
        <f>$K$208</f>
        <v>0</v>
      </c>
      <c r="AC169" s="138">
        <f>$J$208</f>
        <v>0.17774824766946792</v>
      </c>
      <c r="AD169" s="138">
        <f>$G$208</f>
        <v>0.25996126338098668</v>
      </c>
      <c r="AE169" s="138">
        <f>$T$208</f>
        <v>0.20927053479494012</v>
      </c>
      <c r="AF169" s="138">
        <f>$U$208</f>
        <v>0</v>
      </c>
      <c r="AG169" s="133"/>
      <c r="AH169" s="133"/>
      <c r="AI169" s="138">
        <v>1</v>
      </c>
      <c r="AJ169" s="138">
        <f>$K$208</f>
        <v>0</v>
      </c>
      <c r="AK169" s="138">
        <f>$H$208</f>
        <v>0.26988847407356381</v>
      </c>
      <c r="AL169" s="138">
        <f>$G$208</f>
        <v>0.25996126338098668</v>
      </c>
      <c r="AM169" s="138">
        <f>$T$208</f>
        <v>0.20927053479494012</v>
      </c>
      <c r="AN169" s="138">
        <f>$U$208</f>
        <v>0</v>
      </c>
      <c r="AO169" s="133"/>
      <c r="AP169" s="133"/>
      <c r="AQ169" s="138">
        <v>1</v>
      </c>
      <c r="AR169" s="138">
        <f>$F$208</f>
        <v>0.27402876252251041</v>
      </c>
      <c r="AS169" s="138">
        <f>$I$208</f>
        <v>0.34452413950038913</v>
      </c>
      <c r="AT169" s="138">
        <f>$G$208</f>
        <v>0.25996126338098668</v>
      </c>
      <c r="AU169" s="138">
        <f>$T$208</f>
        <v>0.20927053479494012</v>
      </c>
      <c r="AV169" s="139">
        <f>$U$208</f>
        <v>0</v>
      </c>
      <c r="AW169" s="133"/>
      <c r="AX169" s="133"/>
      <c r="AY169" s="138">
        <v>1</v>
      </c>
      <c r="AZ169" s="138">
        <f>$F$208</f>
        <v>0.27402876252251041</v>
      </c>
      <c r="BA169" s="138">
        <f>$H$208</f>
        <v>0.26988847407356381</v>
      </c>
      <c r="BB169" s="138">
        <f>$G$208</f>
        <v>0.25996126338098668</v>
      </c>
      <c r="BC169" s="138">
        <f>$T$208</f>
        <v>0.20927053479494012</v>
      </c>
      <c r="BD169" s="139">
        <f>$U$208</f>
        <v>0</v>
      </c>
      <c r="BE169" s="133"/>
      <c r="BF169" s="133"/>
      <c r="BG169" s="138">
        <v>1</v>
      </c>
      <c r="BH169" s="138">
        <f>$F$208</f>
        <v>0.27402876252251041</v>
      </c>
      <c r="BI169" s="138">
        <f>$E$208</f>
        <v>0.30614940260803009</v>
      </c>
      <c r="BJ169" s="138">
        <f>$D$208</f>
        <v>0.31292707900573768</v>
      </c>
      <c r="BK169" s="138">
        <f>$T$208</f>
        <v>0.20927053479494012</v>
      </c>
      <c r="BL169" s="139">
        <f>$U$208</f>
        <v>0</v>
      </c>
      <c r="BM169" s="133"/>
      <c r="BN169" s="133"/>
      <c r="BO169" s="138">
        <v>1</v>
      </c>
      <c r="BP169" s="138">
        <f>$F$208</f>
        <v>0.27402876252251041</v>
      </c>
      <c r="BQ169" s="138">
        <f>$H$208</f>
        <v>0.26988847407356381</v>
      </c>
      <c r="BR169" s="138">
        <f>$D$208</f>
        <v>0.31292707900573768</v>
      </c>
      <c r="BS169" s="138">
        <f>$T$208</f>
        <v>0.20927053479494012</v>
      </c>
      <c r="BT169" s="139">
        <f>$U$208</f>
        <v>0</v>
      </c>
    </row>
    <row r="170" spans="1:72" hidden="1" outlineLevel="1" x14ac:dyDescent="0.2">
      <c r="A170" s="132"/>
      <c r="B170" s="133"/>
      <c r="C170" s="140">
        <f t="shared" ref="C170:H170" si="90">SUM(C164:C169)</f>
        <v>1</v>
      </c>
      <c r="D170" s="140">
        <f t="shared" si="90"/>
        <v>1</v>
      </c>
      <c r="E170" s="140">
        <f t="shared" si="90"/>
        <v>1</v>
      </c>
      <c r="F170" s="140">
        <f t="shared" si="90"/>
        <v>1</v>
      </c>
      <c r="G170" s="140">
        <f t="shared" si="90"/>
        <v>1</v>
      </c>
      <c r="H170" s="140">
        <f t="shared" si="90"/>
        <v>1</v>
      </c>
      <c r="I170" s="133"/>
      <c r="J170" s="133"/>
      <c r="K170" s="140">
        <f t="shared" ref="K170:P170" si="91">SUM(K164:K169)</f>
        <v>1</v>
      </c>
      <c r="L170" s="140">
        <f t="shared" si="91"/>
        <v>0.99999999999999989</v>
      </c>
      <c r="M170" s="140">
        <f t="shared" si="91"/>
        <v>1</v>
      </c>
      <c r="N170" s="140">
        <f t="shared" si="91"/>
        <v>1</v>
      </c>
      <c r="O170" s="140">
        <f t="shared" si="91"/>
        <v>1</v>
      </c>
      <c r="P170" s="140">
        <f t="shared" si="91"/>
        <v>1</v>
      </c>
      <c r="Q170" s="133"/>
      <c r="R170" s="133"/>
      <c r="S170" s="140">
        <f t="shared" ref="S170:X170" si="92">SUM(S164:S169)</f>
        <v>1</v>
      </c>
      <c r="T170" s="140">
        <f t="shared" si="92"/>
        <v>1</v>
      </c>
      <c r="U170" s="140">
        <f t="shared" si="92"/>
        <v>1</v>
      </c>
      <c r="V170" s="140">
        <f t="shared" si="92"/>
        <v>1</v>
      </c>
      <c r="W170" s="140">
        <f t="shared" si="92"/>
        <v>1</v>
      </c>
      <c r="X170" s="140">
        <f t="shared" si="92"/>
        <v>1</v>
      </c>
      <c r="Y170" s="133"/>
      <c r="Z170" s="133"/>
      <c r="AA170" s="140">
        <f t="shared" ref="AA170:AF170" si="93">SUM(AA164:AA169)</f>
        <v>1</v>
      </c>
      <c r="AB170" s="140">
        <f t="shared" si="93"/>
        <v>0.99999999999999989</v>
      </c>
      <c r="AC170" s="140">
        <f t="shared" si="93"/>
        <v>1</v>
      </c>
      <c r="AD170" s="140">
        <f t="shared" si="93"/>
        <v>1</v>
      </c>
      <c r="AE170" s="140">
        <f t="shared" si="93"/>
        <v>1</v>
      </c>
      <c r="AF170" s="140">
        <f t="shared" si="93"/>
        <v>1</v>
      </c>
      <c r="AG170" s="133"/>
      <c r="AH170" s="133"/>
      <c r="AI170" s="140">
        <f t="shared" ref="AI170:AN170" si="94">SUM(AI164:AI169)</f>
        <v>1</v>
      </c>
      <c r="AJ170" s="140">
        <f t="shared" si="94"/>
        <v>0.99999999999999989</v>
      </c>
      <c r="AK170" s="140">
        <f t="shared" si="94"/>
        <v>1</v>
      </c>
      <c r="AL170" s="140">
        <f t="shared" si="94"/>
        <v>1</v>
      </c>
      <c r="AM170" s="140">
        <f t="shared" si="94"/>
        <v>1</v>
      </c>
      <c r="AN170" s="140">
        <f t="shared" si="94"/>
        <v>1</v>
      </c>
      <c r="AO170" s="133"/>
      <c r="AP170" s="133"/>
      <c r="AQ170" s="140">
        <f t="shared" ref="AQ170:AV170" si="95">SUM(AQ164:AQ169)</f>
        <v>1</v>
      </c>
      <c r="AR170" s="140">
        <f t="shared" si="95"/>
        <v>1</v>
      </c>
      <c r="AS170" s="140">
        <f t="shared" si="95"/>
        <v>1</v>
      </c>
      <c r="AT170" s="140">
        <f t="shared" si="95"/>
        <v>1</v>
      </c>
      <c r="AU170" s="140">
        <f t="shared" si="95"/>
        <v>1</v>
      </c>
      <c r="AV170" s="141">
        <f t="shared" si="95"/>
        <v>1</v>
      </c>
      <c r="AW170" s="133"/>
      <c r="AX170" s="133"/>
      <c r="AY170" s="140">
        <f t="shared" ref="AY170:BD170" si="96">SUM(AY164:AY169)</f>
        <v>1</v>
      </c>
      <c r="AZ170" s="140">
        <f t="shared" si="96"/>
        <v>1</v>
      </c>
      <c r="BA170" s="140">
        <f t="shared" si="96"/>
        <v>1</v>
      </c>
      <c r="BB170" s="140">
        <f t="shared" si="96"/>
        <v>1</v>
      </c>
      <c r="BC170" s="140">
        <f t="shared" si="96"/>
        <v>1</v>
      </c>
      <c r="BD170" s="141">
        <f t="shared" si="96"/>
        <v>1</v>
      </c>
      <c r="BE170" s="133"/>
      <c r="BF170" s="133"/>
      <c r="BG170" s="140">
        <f t="shared" ref="BG170:BL170" si="97">SUM(BG164:BG169)</f>
        <v>1</v>
      </c>
      <c r="BH170" s="140">
        <f t="shared" si="97"/>
        <v>1</v>
      </c>
      <c r="BI170" s="140">
        <f t="shared" si="97"/>
        <v>1</v>
      </c>
      <c r="BJ170" s="140">
        <f t="shared" si="97"/>
        <v>1</v>
      </c>
      <c r="BK170" s="140">
        <f t="shared" si="97"/>
        <v>1</v>
      </c>
      <c r="BL170" s="141">
        <f t="shared" si="97"/>
        <v>1</v>
      </c>
      <c r="BM170" s="133"/>
      <c r="BN170" s="133"/>
      <c r="BO170" s="140">
        <f t="shared" ref="BO170:BT170" si="98">SUM(BO164:BO169)</f>
        <v>1</v>
      </c>
      <c r="BP170" s="140">
        <f t="shared" si="98"/>
        <v>1</v>
      </c>
      <c r="BQ170" s="140">
        <f t="shared" si="98"/>
        <v>1</v>
      </c>
      <c r="BR170" s="140">
        <f t="shared" si="98"/>
        <v>1</v>
      </c>
      <c r="BS170" s="140">
        <f t="shared" si="98"/>
        <v>1</v>
      </c>
      <c r="BT170" s="141">
        <f t="shared" si="98"/>
        <v>1</v>
      </c>
    </row>
    <row r="171" spans="1:72" hidden="1" outlineLevel="1" x14ac:dyDescent="0.2">
      <c r="A171" s="132"/>
      <c r="B171" s="142">
        <f t="array" ref="B171:B176">MMULT(C171:H176,$V$19:$V$24)</f>
        <v>2.9014168395612785</v>
      </c>
      <c r="C171" s="138">
        <f t="array" ref="C171:H176">MINVERSE(C164:H169)</f>
        <v>-0.78205085445934686</v>
      </c>
      <c r="D171" s="138">
        <v>-3.9372062723254289E-2</v>
      </c>
      <c r="E171" s="138">
        <v>-0.53006240270938942</v>
      </c>
      <c r="F171" s="138">
        <v>0</v>
      </c>
      <c r="G171" s="138">
        <v>-0.26465503563936371</v>
      </c>
      <c r="H171" s="138">
        <v>1</v>
      </c>
      <c r="I171" s="133"/>
      <c r="J171" s="142">
        <f t="array" ref="J171:J176">MMULT(K171:P176,$V$19:$V$24)</f>
        <v>-6.322835138365015</v>
      </c>
      <c r="K171" s="138">
        <f t="array" ref="K171:P176">MINVERSE(K164:P169)</f>
        <v>-1.0351627492636171</v>
      </c>
      <c r="L171" s="138">
        <v>0</v>
      </c>
      <c r="M171" s="138">
        <v>-0.53006240270938942</v>
      </c>
      <c r="N171" s="138">
        <v>0</v>
      </c>
      <c r="O171" s="138">
        <v>-0.26465503563936371</v>
      </c>
      <c r="P171" s="138">
        <v>1</v>
      </c>
      <c r="Q171" s="133"/>
      <c r="R171" s="142">
        <f t="array" ref="R171:R176">MMULT(S171:X176,$V$19:$V$24)</f>
        <v>1.3750971049602541</v>
      </c>
      <c r="S171" s="138">
        <f t="array" ref="S171:X176">MINVERSE(S164:X169)</f>
        <v>-0.82268463095917754</v>
      </c>
      <c r="T171" s="138">
        <v>-4.6956861209020428E-2</v>
      </c>
      <c r="U171" s="138">
        <v>-0.48089667545907466</v>
      </c>
      <c r="V171" s="138">
        <v>0</v>
      </c>
      <c r="W171" s="138">
        <v>-0.26465503563936371</v>
      </c>
      <c r="X171" s="138">
        <v>1</v>
      </c>
      <c r="Y171" s="133"/>
      <c r="Z171" s="142">
        <f t="array" ref="Z171:Z176">MMULT(AA171:AF176,$V$19:$V$24)</f>
        <v>-0.58156114283750071</v>
      </c>
      <c r="AA171" s="138">
        <f t="array" ref="AA171:AF176">MINVERSE(AA164:AF169)</f>
        <v>-0.87979254367277293</v>
      </c>
      <c r="AB171" s="138">
        <v>0</v>
      </c>
      <c r="AC171" s="138">
        <v>-0.61551403040475805</v>
      </c>
      <c r="AD171" s="138">
        <v>0</v>
      </c>
      <c r="AE171" s="138">
        <v>-0.26465503563936371</v>
      </c>
      <c r="AF171" s="138">
        <v>1</v>
      </c>
      <c r="AG171" s="133"/>
      <c r="AH171" s="142">
        <f t="array" ref="AH171:AH176">MMULT(AI171:AN176,$V$19:$V$24)</f>
        <v>-1.9078654593279651</v>
      </c>
      <c r="AI171" s="138">
        <f t="array" ref="AI171:AN176">MINVERSE(AI164:AN169)</f>
        <v>-0.96372402863021178</v>
      </c>
      <c r="AJ171" s="138">
        <v>0</v>
      </c>
      <c r="AK171" s="138">
        <v>8.8817841970012523E-16</v>
      </c>
      <c r="AL171" s="138">
        <v>0</v>
      </c>
      <c r="AM171" s="138">
        <v>-0.26465503563936371</v>
      </c>
      <c r="AN171" s="138">
        <v>1</v>
      </c>
      <c r="AO171" s="133"/>
      <c r="AP171" s="142">
        <f t="array" ref="AP171:AP176">MMULT(AQ171:AV176,$V$19:$V$24)</f>
        <v>13.611330402030603</v>
      </c>
      <c r="AQ171" s="138">
        <f t="array" ref="AQ171:AV176">MINVERSE(AQ164:AV169)</f>
        <v>-0.39033462290132692</v>
      </c>
      <c r="AR171" s="138">
        <v>-0.28766564716359533</v>
      </c>
      <c r="AS171" s="138">
        <v>-0.81462444391443056</v>
      </c>
      <c r="AT171" s="138">
        <v>0</v>
      </c>
      <c r="AU171" s="138">
        <v>-0.26465503563936371</v>
      </c>
      <c r="AV171" s="139">
        <v>1</v>
      </c>
      <c r="AW171" s="133"/>
      <c r="AX171" s="142">
        <f t="array" ref="AX171:AX176">MMULT(AY171:BD176,$V$19:$V$24)</f>
        <v>11.681566960688063</v>
      </c>
      <c r="AY171" s="138">
        <f t="array" ref="AY171:BD176">MINVERSE(AY164:BD169)</f>
        <v>-0.50727523281838138</v>
      </c>
      <c r="AZ171" s="138">
        <v>-0.28402030175762416</v>
      </c>
      <c r="BA171" s="138">
        <v>0</v>
      </c>
      <c r="BB171" s="138">
        <v>0</v>
      </c>
      <c r="BC171" s="138">
        <v>-0.26465503563936371</v>
      </c>
      <c r="BD171" s="139">
        <v>1</v>
      </c>
      <c r="BE171" s="133"/>
      <c r="BF171" s="142">
        <f t="array" ref="BF171:BF176">MMULT(BG171:BL176,$V$19:$V$24)</f>
        <v>7.2756362085149355</v>
      </c>
      <c r="BG171" s="138">
        <f t="array" ref="BG171:BL176">MINVERSE(BG164:BL169)</f>
        <v>-0.71390534431973585</v>
      </c>
      <c r="BH171" s="138">
        <v>-3.3314822304292058E-2</v>
      </c>
      <c r="BI171" s="138">
        <v>1.7763568394002505E-15</v>
      </c>
      <c r="BJ171" s="138">
        <v>0</v>
      </c>
      <c r="BK171" s="138">
        <v>-0.26465503563936371</v>
      </c>
      <c r="BL171" s="139">
        <v>1</v>
      </c>
      <c r="BM171" s="133"/>
      <c r="BN171" s="142">
        <f t="array" ref="BN171:BN176">MMULT(BO171:BT176,$V$19:$V$24)</f>
        <v>10.05824427331304</v>
      </c>
      <c r="BO171" s="138">
        <f t="array" ref="BO171:BT176">MINVERSE(BO164:BT169)</f>
        <v>-0.59310884324541913</v>
      </c>
      <c r="BP171" s="138">
        <v>-0.23061127065025899</v>
      </c>
      <c r="BQ171" s="138">
        <v>0.29896439403252728</v>
      </c>
      <c r="BR171" s="138">
        <v>0</v>
      </c>
      <c r="BS171" s="138">
        <v>-0.26465503563936371</v>
      </c>
      <c r="BT171" s="139">
        <v>1</v>
      </c>
    </row>
    <row r="172" spans="1:72" hidden="1" outlineLevel="1" x14ac:dyDescent="0.2">
      <c r="A172" s="132"/>
      <c r="B172" s="142">
        <v>148.28616907630288</v>
      </c>
      <c r="C172" s="138">
        <v>4.0689470883911421</v>
      </c>
      <c r="D172" s="138">
        <v>-0.63293287779155138</v>
      </c>
      <c r="E172" s="138">
        <v>0</v>
      </c>
      <c r="F172" s="138">
        <v>0</v>
      </c>
      <c r="G172" s="138">
        <v>0</v>
      </c>
      <c r="H172" s="138">
        <v>0</v>
      </c>
      <c r="I172" s="133"/>
      <c r="J172" s="142">
        <v>-234.28419391596074</v>
      </c>
      <c r="K172" s="138">
        <v>-6.4287181645368721</v>
      </c>
      <c r="L172" s="138">
        <v>1</v>
      </c>
      <c r="M172" s="138">
        <v>-3.9254298055278577E-16</v>
      </c>
      <c r="N172" s="138">
        <v>0</v>
      </c>
      <c r="O172" s="138">
        <v>0</v>
      </c>
      <c r="P172" s="138">
        <v>0</v>
      </c>
      <c r="Q172" s="133"/>
      <c r="R172" s="142">
        <v>47.287512572300749</v>
      </c>
      <c r="S172" s="138">
        <v>1.3801547324175945</v>
      </c>
      <c r="T172" s="138">
        <v>-1.1348293281550277</v>
      </c>
      <c r="U172" s="138">
        <v>3.2533631622223917</v>
      </c>
      <c r="V172" s="138">
        <v>0</v>
      </c>
      <c r="W172" s="138">
        <v>0</v>
      </c>
      <c r="X172" s="138">
        <v>0</v>
      </c>
      <c r="Y172" s="133"/>
      <c r="Z172" s="142">
        <v>-41.669272549714044</v>
      </c>
      <c r="AA172" s="138">
        <v>-1.2161782377103429</v>
      </c>
      <c r="AB172" s="138">
        <v>1</v>
      </c>
      <c r="AC172" s="138">
        <v>-2.86683035193637</v>
      </c>
      <c r="AD172" s="138">
        <v>0</v>
      </c>
      <c r="AE172" s="138">
        <v>0</v>
      </c>
      <c r="AF172" s="138">
        <v>0</v>
      </c>
      <c r="AG172" s="133"/>
      <c r="AH172" s="142">
        <v>-47.846693831108247</v>
      </c>
      <c r="AI172" s="138">
        <v>-1.6070991861749095</v>
      </c>
      <c r="AJ172" s="138">
        <v>1</v>
      </c>
      <c r="AK172" s="138">
        <v>1.7763568394002505E-15</v>
      </c>
      <c r="AL172" s="138">
        <v>0</v>
      </c>
      <c r="AM172" s="138">
        <v>0</v>
      </c>
      <c r="AN172" s="138">
        <v>0</v>
      </c>
      <c r="AO172" s="133"/>
      <c r="AP172" s="142">
        <v>176.76029036408045</v>
      </c>
      <c r="AQ172" s="138">
        <v>6.2455750154351461</v>
      </c>
      <c r="AR172" s="138">
        <v>-3.4771938279979437</v>
      </c>
      <c r="AS172" s="138">
        <v>-4.8209130884133193</v>
      </c>
      <c r="AT172" s="138">
        <v>0</v>
      </c>
      <c r="AU172" s="138">
        <v>0</v>
      </c>
      <c r="AV172" s="139">
        <v>0</v>
      </c>
      <c r="AW172" s="133"/>
      <c r="AX172" s="142">
        <v>165.34003173888371</v>
      </c>
      <c r="AY172" s="138">
        <v>5.5535254199096462</v>
      </c>
      <c r="AZ172" s="138">
        <v>-3.4556208276899887</v>
      </c>
      <c r="BA172" s="138">
        <v>-4.8057935729100216E-15</v>
      </c>
      <c r="BB172" s="138">
        <v>0</v>
      </c>
      <c r="BC172" s="138">
        <v>0</v>
      </c>
      <c r="BD172" s="139">
        <v>0</v>
      </c>
      <c r="BE172" s="133"/>
      <c r="BF172" s="142">
        <v>-119.72835008520869</v>
      </c>
      <c r="BG172" s="138">
        <v>-7.8156614409528302</v>
      </c>
      <c r="BH172" s="138">
        <v>12.765288978244815</v>
      </c>
      <c r="BI172" s="138">
        <v>9.6115871458200432E-15</v>
      </c>
      <c r="BJ172" s="138">
        <v>0</v>
      </c>
      <c r="BK172" s="138">
        <v>0</v>
      </c>
      <c r="BL172" s="139">
        <v>0</v>
      </c>
      <c r="BM172" s="133"/>
      <c r="BN172" s="142">
        <v>60.309336138394706</v>
      </c>
      <c r="BO172" s="138">
        <v>-6.007241966137527E-16</v>
      </c>
      <c r="BP172" s="138">
        <v>0</v>
      </c>
      <c r="BQ172" s="138">
        <v>19.343312644629663</v>
      </c>
      <c r="BR172" s="138">
        <v>0</v>
      </c>
      <c r="BS172" s="138">
        <v>0</v>
      </c>
      <c r="BT172" s="139">
        <v>0</v>
      </c>
    </row>
    <row r="173" spans="1:72" hidden="1" outlineLevel="1" x14ac:dyDescent="0.2">
      <c r="A173" s="132"/>
      <c r="B173" s="142">
        <v>-12.251469865373807</v>
      </c>
      <c r="C173" s="138">
        <v>-1.0223524718523058</v>
      </c>
      <c r="D173" s="138">
        <v>1.9083477216194746</v>
      </c>
      <c r="E173" s="138">
        <v>0</v>
      </c>
      <c r="F173" s="138">
        <v>0</v>
      </c>
      <c r="G173" s="138">
        <v>0</v>
      </c>
      <c r="H173" s="138">
        <v>0</v>
      </c>
      <c r="I173" s="133"/>
      <c r="J173" s="142">
        <v>434.84423780560502</v>
      </c>
      <c r="K173" s="138">
        <v>11.245877190375364</v>
      </c>
      <c r="L173" s="138">
        <v>0</v>
      </c>
      <c r="M173" s="138">
        <v>6.8668279402765748E-16</v>
      </c>
      <c r="N173" s="138">
        <v>0</v>
      </c>
      <c r="O173" s="138">
        <v>0</v>
      </c>
      <c r="P173" s="138">
        <v>0</v>
      </c>
      <c r="Q173" s="133"/>
      <c r="R173" s="142">
        <v>-79.91632065824956</v>
      </c>
      <c r="S173" s="138">
        <v>-2.823730231493748</v>
      </c>
      <c r="T173" s="138">
        <v>1.5720982149146714</v>
      </c>
      <c r="U173" s="138">
        <v>2.179616448047438</v>
      </c>
      <c r="V173" s="138">
        <v>0</v>
      </c>
      <c r="W173" s="138">
        <v>0</v>
      </c>
      <c r="X173" s="138">
        <v>0</v>
      </c>
      <c r="Y173" s="133"/>
      <c r="Z173" s="142">
        <v>-14.40813166605119</v>
      </c>
      <c r="AA173" s="138">
        <v>-0.91177859497124714</v>
      </c>
      <c r="AB173" s="138">
        <v>0</v>
      </c>
      <c r="AC173" s="138">
        <v>6.6865553267898044</v>
      </c>
      <c r="AD173" s="138">
        <v>0</v>
      </c>
      <c r="AE173" s="138">
        <v>0</v>
      </c>
      <c r="AF173" s="138">
        <v>0</v>
      </c>
      <c r="AG173" s="133"/>
      <c r="AH173" s="142">
        <v>56.426956411196286</v>
      </c>
      <c r="AI173" s="138">
        <v>3.5708232148051215</v>
      </c>
      <c r="AJ173" s="138">
        <v>0</v>
      </c>
      <c r="AK173" s="138">
        <v>-26.186737788830001</v>
      </c>
      <c r="AL173" s="138">
        <v>0</v>
      </c>
      <c r="AM173" s="138">
        <v>0</v>
      </c>
      <c r="AN173" s="138">
        <v>0</v>
      </c>
      <c r="AO173" s="133"/>
      <c r="AP173" s="142">
        <v>-11.505427845054019</v>
      </c>
      <c r="AQ173" s="138">
        <v>-0.69721071543423885</v>
      </c>
      <c r="AR173" s="138">
        <v>2.1733885946933231E-2</v>
      </c>
      <c r="AS173" s="138">
        <v>4.8568661627013228</v>
      </c>
      <c r="AT173" s="138">
        <v>0</v>
      </c>
      <c r="AU173" s="138">
        <v>0</v>
      </c>
      <c r="AV173" s="139">
        <v>0</v>
      </c>
      <c r="AW173" s="133"/>
      <c r="AX173" s="142">
        <v>62.033750166004154</v>
      </c>
      <c r="AY173" s="138">
        <v>3.759147066651785</v>
      </c>
      <c r="AZ173" s="138">
        <v>-0.11718246979820653</v>
      </c>
      <c r="BA173" s="138">
        <v>-26.186737788829998</v>
      </c>
      <c r="BB173" s="138">
        <v>0</v>
      </c>
      <c r="BC173" s="138">
        <v>0</v>
      </c>
      <c r="BD173" s="139">
        <v>0</v>
      </c>
      <c r="BE173" s="133"/>
      <c r="BF173" s="142">
        <v>429.72922320923533</v>
      </c>
      <c r="BG173" s="138">
        <v>18.655083779046635</v>
      </c>
      <c r="BH173" s="138">
        <v>-30.469274693130192</v>
      </c>
      <c r="BI173" s="138">
        <v>46.17025963523129</v>
      </c>
      <c r="BJ173" s="138">
        <v>0</v>
      </c>
      <c r="BK173" s="138">
        <v>0</v>
      </c>
      <c r="BL173" s="139">
        <v>0</v>
      </c>
      <c r="BM173" s="133"/>
      <c r="BN173" s="142">
        <v>-50.622984561274393</v>
      </c>
      <c r="BO173" s="138">
        <v>-2.1976071608147092</v>
      </c>
      <c r="BP173" s="138">
        <v>3.5893431004401131</v>
      </c>
      <c r="BQ173" s="138">
        <v>-5.4389513546448356</v>
      </c>
      <c r="BR173" s="138">
        <v>0</v>
      </c>
      <c r="BS173" s="138">
        <v>0</v>
      </c>
      <c r="BT173" s="139">
        <v>0</v>
      </c>
    </row>
    <row r="174" spans="1:72" hidden="1" outlineLevel="1" x14ac:dyDescent="0.2">
      <c r="A174" s="132"/>
      <c r="B174" s="142">
        <v>-47.499845340158885</v>
      </c>
      <c r="C174" s="138">
        <v>-1.2645437620794893</v>
      </c>
      <c r="D174" s="138">
        <v>-0.23604278110466914</v>
      </c>
      <c r="E174" s="138">
        <v>1.5300624027093894</v>
      </c>
      <c r="F174" s="138">
        <v>0</v>
      </c>
      <c r="G174" s="138">
        <v>0</v>
      </c>
      <c r="H174" s="138">
        <v>0</v>
      </c>
      <c r="I174" s="133"/>
      <c r="J174" s="142">
        <v>-102.80093804094787</v>
      </c>
      <c r="K174" s="138">
        <v>-2.7819962765748767</v>
      </c>
      <c r="L174" s="138">
        <v>0</v>
      </c>
      <c r="M174" s="138">
        <v>1.5300624027093892</v>
      </c>
      <c r="N174" s="138">
        <v>0</v>
      </c>
      <c r="O174" s="138">
        <v>0</v>
      </c>
      <c r="P174" s="138">
        <v>0</v>
      </c>
      <c r="Q174" s="133"/>
      <c r="R174" s="142">
        <v>122.68998169132004</v>
      </c>
      <c r="S174" s="138">
        <v>3.2662601300353318</v>
      </c>
      <c r="T174" s="138">
        <v>0.6096879744493765</v>
      </c>
      <c r="U174" s="138">
        <v>-3.9520829348107558</v>
      </c>
      <c r="V174" s="138">
        <v>0</v>
      </c>
      <c r="W174" s="138">
        <v>0</v>
      </c>
      <c r="X174" s="138">
        <v>0</v>
      </c>
      <c r="Y174" s="133"/>
      <c r="Z174" s="142">
        <v>148.09523606893421</v>
      </c>
      <c r="AA174" s="138">
        <v>4.0077493763543632</v>
      </c>
      <c r="AB174" s="138">
        <v>0</v>
      </c>
      <c r="AC174" s="138">
        <v>-2.2042109444486777</v>
      </c>
      <c r="AD174" s="138">
        <v>0</v>
      </c>
      <c r="AE174" s="138">
        <v>0</v>
      </c>
      <c r="AF174" s="138">
        <v>0</v>
      </c>
      <c r="AG174" s="133"/>
      <c r="AH174" s="142">
        <v>84.763873589571389</v>
      </c>
      <c r="AI174" s="138">
        <v>0</v>
      </c>
      <c r="AJ174" s="138">
        <v>0</v>
      </c>
      <c r="AK174" s="138">
        <v>27.186737788829998</v>
      </c>
      <c r="AL174" s="138">
        <v>0</v>
      </c>
      <c r="AM174" s="138">
        <v>0</v>
      </c>
      <c r="AN174" s="138">
        <v>0</v>
      </c>
      <c r="AO174" s="133"/>
      <c r="AP174" s="142">
        <v>-87.429922210725621</v>
      </c>
      <c r="AQ174" s="138">
        <v>-4.1580296770995817</v>
      </c>
      <c r="AR174" s="138">
        <v>4.7431255892146069</v>
      </c>
      <c r="AS174" s="138">
        <v>1.7786713696264278</v>
      </c>
      <c r="AT174" s="138">
        <v>0</v>
      </c>
      <c r="AU174" s="138">
        <v>0</v>
      </c>
      <c r="AV174" s="139">
        <v>0</v>
      </c>
      <c r="AW174" s="133"/>
      <c r="AX174" s="142">
        <v>-147.61907815524452</v>
      </c>
      <c r="AY174" s="138">
        <v>-7.8053972537430507</v>
      </c>
      <c r="AZ174" s="138">
        <v>4.8568235992458204</v>
      </c>
      <c r="BA174" s="138">
        <v>27.186737788830001</v>
      </c>
      <c r="BB174" s="138">
        <v>0</v>
      </c>
      <c r="BC174" s="138">
        <v>0</v>
      </c>
      <c r="BD174" s="139">
        <v>0</v>
      </c>
      <c r="BE174" s="133"/>
      <c r="BF174" s="142">
        <v>-225.84023862221011</v>
      </c>
      <c r="BG174" s="138">
        <v>-9.1255169937740668</v>
      </c>
      <c r="BH174" s="138">
        <v>18.737300537189668</v>
      </c>
      <c r="BI174" s="138">
        <v>-45.170259635231297</v>
      </c>
      <c r="BJ174" s="138">
        <v>0</v>
      </c>
      <c r="BK174" s="138">
        <v>0</v>
      </c>
      <c r="BL174" s="139">
        <v>0</v>
      </c>
      <c r="BM174" s="133"/>
      <c r="BN174" s="142">
        <v>71.691674859898072</v>
      </c>
      <c r="BO174" s="138">
        <v>3.790716004060128</v>
      </c>
      <c r="BP174" s="138">
        <v>-2.3587318297898534</v>
      </c>
      <c r="BQ174" s="138">
        <v>-13.203325684017354</v>
      </c>
      <c r="BR174" s="138">
        <v>0</v>
      </c>
      <c r="BS174" s="138">
        <v>0</v>
      </c>
      <c r="BT174" s="139">
        <v>0</v>
      </c>
    </row>
    <row r="175" spans="1:72" hidden="1" outlineLevel="1" x14ac:dyDescent="0.2">
      <c r="A175" s="132"/>
      <c r="B175" s="142">
        <v>5.169965722390824</v>
      </c>
      <c r="C175" s="138">
        <v>0</v>
      </c>
      <c r="D175" s="138">
        <v>0</v>
      </c>
      <c r="E175" s="138">
        <v>0</v>
      </c>
      <c r="F175" s="138">
        <v>0</v>
      </c>
      <c r="G175" s="138">
        <v>1.2646550356393638</v>
      </c>
      <c r="H175" s="138">
        <v>0</v>
      </c>
      <c r="I175" s="133"/>
      <c r="J175" s="142">
        <v>5.169965722390824</v>
      </c>
      <c r="K175" s="138">
        <v>0</v>
      </c>
      <c r="L175" s="138">
        <v>0</v>
      </c>
      <c r="M175" s="138">
        <v>0</v>
      </c>
      <c r="N175" s="138">
        <v>0</v>
      </c>
      <c r="O175" s="138">
        <v>1.2646550356393638</v>
      </c>
      <c r="P175" s="138">
        <v>0</v>
      </c>
      <c r="Q175" s="133"/>
      <c r="R175" s="142">
        <v>5.169965722390824</v>
      </c>
      <c r="S175" s="138">
        <v>0</v>
      </c>
      <c r="T175" s="138">
        <v>0</v>
      </c>
      <c r="U175" s="138">
        <v>0</v>
      </c>
      <c r="V175" s="138">
        <v>0</v>
      </c>
      <c r="W175" s="138">
        <v>1.2646550356393638</v>
      </c>
      <c r="X175" s="138">
        <v>0</v>
      </c>
      <c r="Y175" s="133"/>
      <c r="Z175" s="142">
        <v>5.169965722390824</v>
      </c>
      <c r="AA175" s="138">
        <v>0</v>
      </c>
      <c r="AB175" s="138">
        <v>0</v>
      </c>
      <c r="AC175" s="138">
        <v>0</v>
      </c>
      <c r="AD175" s="138">
        <v>0</v>
      </c>
      <c r="AE175" s="138">
        <v>1.2646550356393638</v>
      </c>
      <c r="AF175" s="138">
        <v>0</v>
      </c>
      <c r="AG175" s="133"/>
      <c r="AH175" s="142">
        <v>5.169965722390824</v>
      </c>
      <c r="AI175" s="138">
        <v>0</v>
      </c>
      <c r="AJ175" s="138">
        <v>0</v>
      </c>
      <c r="AK175" s="138">
        <v>0</v>
      </c>
      <c r="AL175" s="138">
        <v>0</v>
      </c>
      <c r="AM175" s="138">
        <v>1.2646550356393638</v>
      </c>
      <c r="AN175" s="138">
        <v>0</v>
      </c>
      <c r="AO175" s="133"/>
      <c r="AP175" s="142">
        <v>5.169965722390824</v>
      </c>
      <c r="AQ175" s="138">
        <v>0</v>
      </c>
      <c r="AR175" s="138">
        <v>0</v>
      </c>
      <c r="AS175" s="138">
        <v>0</v>
      </c>
      <c r="AT175" s="138">
        <v>0</v>
      </c>
      <c r="AU175" s="138">
        <v>1.2646550356393638</v>
      </c>
      <c r="AV175" s="139">
        <v>0</v>
      </c>
      <c r="AW175" s="133"/>
      <c r="AX175" s="142">
        <v>5.169965722390824</v>
      </c>
      <c r="AY175" s="138">
        <v>0</v>
      </c>
      <c r="AZ175" s="138">
        <v>0</v>
      </c>
      <c r="BA175" s="138">
        <v>0</v>
      </c>
      <c r="BB175" s="138">
        <v>0</v>
      </c>
      <c r="BC175" s="138">
        <v>1.2646550356393638</v>
      </c>
      <c r="BD175" s="139">
        <v>0</v>
      </c>
      <c r="BE175" s="133"/>
      <c r="BF175" s="142">
        <v>5.169965722390824</v>
      </c>
      <c r="BG175" s="138">
        <v>0</v>
      </c>
      <c r="BH175" s="138">
        <v>0</v>
      </c>
      <c r="BI175" s="138">
        <v>0</v>
      </c>
      <c r="BJ175" s="138">
        <v>0</v>
      </c>
      <c r="BK175" s="138">
        <v>1.2646550356393638</v>
      </c>
      <c r="BL175" s="139">
        <v>0</v>
      </c>
      <c r="BM175" s="133"/>
      <c r="BN175" s="142">
        <v>5.169965722390824</v>
      </c>
      <c r="BO175" s="138">
        <v>0</v>
      </c>
      <c r="BP175" s="138">
        <v>0</v>
      </c>
      <c r="BQ175" s="138">
        <v>0</v>
      </c>
      <c r="BR175" s="138">
        <v>0</v>
      </c>
      <c r="BS175" s="138">
        <v>1.2646550356393638</v>
      </c>
      <c r="BT175" s="139">
        <v>0</v>
      </c>
    </row>
    <row r="176" spans="1:72" hidden="1" outlineLevel="1" x14ac:dyDescent="0.2">
      <c r="A176" s="132"/>
      <c r="B176" s="142">
        <v>0</v>
      </c>
      <c r="C176" s="138">
        <v>0</v>
      </c>
      <c r="D176" s="138">
        <v>0</v>
      </c>
      <c r="E176" s="138">
        <v>0</v>
      </c>
      <c r="F176" s="138">
        <v>1</v>
      </c>
      <c r="G176" s="138">
        <v>0</v>
      </c>
      <c r="H176" s="138">
        <v>0</v>
      </c>
      <c r="I176" s="133"/>
      <c r="J176" s="142">
        <v>0</v>
      </c>
      <c r="K176" s="138">
        <v>0</v>
      </c>
      <c r="L176" s="138">
        <v>0</v>
      </c>
      <c r="M176" s="138">
        <v>0</v>
      </c>
      <c r="N176" s="138">
        <v>1</v>
      </c>
      <c r="O176" s="138">
        <v>0</v>
      </c>
      <c r="P176" s="138">
        <v>0</v>
      </c>
      <c r="Q176" s="133"/>
      <c r="R176" s="142">
        <v>0</v>
      </c>
      <c r="S176" s="138">
        <v>0</v>
      </c>
      <c r="T176" s="138">
        <v>0</v>
      </c>
      <c r="U176" s="138">
        <v>0</v>
      </c>
      <c r="V176" s="138">
        <v>1</v>
      </c>
      <c r="W176" s="138">
        <v>0</v>
      </c>
      <c r="X176" s="138">
        <v>0</v>
      </c>
      <c r="Y176" s="133"/>
      <c r="Z176" s="142">
        <v>0</v>
      </c>
      <c r="AA176" s="138">
        <v>0</v>
      </c>
      <c r="AB176" s="138">
        <v>0</v>
      </c>
      <c r="AC176" s="138">
        <v>0</v>
      </c>
      <c r="AD176" s="138">
        <v>1</v>
      </c>
      <c r="AE176" s="138">
        <v>0</v>
      </c>
      <c r="AF176" s="138">
        <v>0</v>
      </c>
      <c r="AG176" s="133"/>
      <c r="AH176" s="142">
        <v>0</v>
      </c>
      <c r="AI176" s="138">
        <v>0</v>
      </c>
      <c r="AJ176" s="138">
        <v>0</v>
      </c>
      <c r="AK176" s="138">
        <v>0</v>
      </c>
      <c r="AL176" s="138">
        <v>1</v>
      </c>
      <c r="AM176" s="138">
        <v>0</v>
      </c>
      <c r="AN176" s="138">
        <v>0</v>
      </c>
      <c r="AO176" s="133"/>
      <c r="AP176" s="142">
        <v>0</v>
      </c>
      <c r="AQ176" s="138">
        <v>0</v>
      </c>
      <c r="AR176" s="138">
        <v>0</v>
      </c>
      <c r="AS176" s="138">
        <v>0</v>
      </c>
      <c r="AT176" s="138">
        <v>1</v>
      </c>
      <c r="AU176" s="138">
        <v>0</v>
      </c>
      <c r="AV176" s="139">
        <v>0</v>
      </c>
      <c r="AW176" s="133"/>
      <c r="AX176" s="142">
        <v>0</v>
      </c>
      <c r="AY176" s="138">
        <v>0</v>
      </c>
      <c r="AZ176" s="138">
        <v>0</v>
      </c>
      <c r="BA176" s="138">
        <v>0</v>
      </c>
      <c r="BB176" s="138">
        <v>1</v>
      </c>
      <c r="BC176" s="138">
        <v>0</v>
      </c>
      <c r="BD176" s="139">
        <v>0</v>
      </c>
      <c r="BE176" s="133"/>
      <c r="BF176" s="142">
        <v>0</v>
      </c>
      <c r="BG176" s="138">
        <v>0</v>
      </c>
      <c r="BH176" s="138">
        <v>0</v>
      </c>
      <c r="BI176" s="138">
        <v>0</v>
      </c>
      <c r="BJ176" s="138">
        <v>1</v>
      </c>
      <c r="BK176" s="138">
        <v>0</v>
      </c>
      <c r="BL176" s="139">
        <v>0</v>
      </c>
      <c r="BM176" s="133"/>
      <c r="BN176" s="142">
        <v>0</v>
      </c>
      <c r="BO176" s="138">
        <v>0</v>
      </c>
      <c r="BP176" s="138">
        <v>0</v>
      </c>
      <c r="BQ176" s="138">
        <v>0</v>
      </c>
      <c r="BR176" s="138">
        <v>1</v>
      </c>
      <c r="BS176" s="138">
        <v>0</v>
      </c>
      <c r="BT176" s="139">
        <v>0</v>
      </c>
    </row>
    <row r="177" spans="1:72" ht="13.5" hidden="1" outlineLevel="1" thickBot="1" x14ac:dyDescent="0.25">
      <c r="A177" s="144"/>
      <c r="B177" s="145">
        <f>SUM(B171:B176)</f>
        <v>96.606236432722284</v>
      </c>
      <c r="C177" s="146"/>
      <c r="D177" s="146"/>
      <c r="E177" s="146"/>
      <c r="F177" s="146"/>
      <c r="G177" s="146"/>
      <c r="H177" s="146"/>
      <c r="I177" s="146"/>
      <c r="J177" s="145">
        <f>SUM(J171:J176)</f>
        <v>96.606236432722227</v>
      </c>
      <c r="K177" s="146"/>
      <c r="L177" s="146"/>
      <c r="M177" s="146"/>
      <c r="N177" s="146"/>
      <c r="O177" s="146"/>
      <c r="P177" s="146"/>
      <c r="Q177" s="146"/>
      <c r="R177" s="145">
        <f>SUM(R171:R176)</f>
        <v>96.606236432722312</v>
      </c>
      <c r="S177" s="146"/>
      <c r="T177" s="146"/>
      <c r="U177" s="146"/>
      <c r="V177" s="146"/>
      <c r="W177" s="146"/>
      <c r="X177" s="146"/>
      <c r="Y177" s="146"/>
      <c r="Z177" s="145">
        <f>SUM(Z171:Z176)</f>
        <v>96.606236432722312</v>
      </c>
      <c r="AA177" s="146"/>
      <c r="AB177" s="146"/>
      <c r="AC177" s="146"/>
      <c r="AD177" s="146"/>
      <c r="AE177" s="146"/>
      <c r="AF177" s="146"/>
      <c r="AG177" s="146"/>
      <c r="AH177" s="145">
        <f>SUM(AH171:AH176)</f>
        <v>96.606236432722284</v>
      </c>
      <c r="AI177" s="146"/>
      <c r="AJ177" s="146"/>
      <c r="AK177" s="146"/>
      <c r="AL177" s="146"/>
      <c r="AM177" s="146"/>
      <c r="AN177" s="146"/>
      <c r="AO177" s="146"/>
      <c r="AP177" s="145">
        <f>SUM(AP171:AP176)</f>
        <v>96.606236432722241</v>
      </c>
      <c r="AQ177" s="146"/>
      <c r="AR177" s="146"/>
      <c r="AS177" s="146"/>
      <c r="AT177" s="146"/>
      <c r="AU177" s="146"/>
      <c r="AV177" s="147"/>
      <c r="AW177" s="146"/>
      <c r="AX177" s="145">
        <f>SUM(AX171:AX176)</f>
        <v>96.606236432722227</v>
      </c>
      <c r="AY177" s="146"/>
      <c r="AZ177" s="146"/>
      <c r="BA177" s="146"/>
      <c r="BB177" s="146"/>
      <c r="BC177" s="146"/>
      <c r="BD177" s="147"/>
      <c r="BE177" s="146"/>
      <c r="BF177" s="145">
        <f>SUM(BF171:BF176)</f>
        <v>96.606236432722312</v>
      </c>
      <c r="BG177" s="146"/>
      <c r="BH177" s="146"/>
      <c r="BI177" s="146"/>
      <c r="BJ177" s="146"/>
      <c r="BK177" s="146"/>
      <c r="BL177" s="147"/>
      <c r="BM177" s="146"/>
      <c r="BN177" s="145">
        <f>SUM(BN171:BN176)</f>
        <v>96.606236432722255</v>
      </c>
      <c r="BO177" s="146"/>
      <c r="BP177" s="146"/>
      <c r="BQ177" s="146"/>
      <c r="BR177" s="146"/>
      <c r="BS177" s="146"/>
      <c r="BT177" s="147"/>
    </row>
    <row r="178" spans="1:72" hidden="1" outlineLevel="1" x14ac:dyDescent="0.2"/>
    <row r="179" spans="1:72" hidden="1" outlineLevel="1" x14ac:dyDescent="0.2"/>
    <row r="180" spans="1:72" hidden="1" outlineLevel="1" x14ac:dyDescent="0.2">
      <c r="A180" s="135" t="s">
        <v>64</v>
      </c>
      <c r="B180" s="136">
        <v>25</v>
      </c>
      <c r="C180" s="136" t="s">
        <v>59</v>
      </c>
      <c r="D180" s="136" t="str">
        <f>$I$202</f>
        <v>strätlingite</v>
      </c>
      <c r="E180" s="136" t="str">
        <f>$J$202</f>
        <v>Ca-stilbite</v>
      </c>
      <c r="F180" s="136" t="str">
        <f>$L$202</f>
        <v>AH3</v>
      </c>
      <c r="G180" s="136" t="str">
        <f>$S$202</f>
        <v>ettringite</v>
      </c>
      <c r="H180" s="136" t="str">
        <f>$U$202</f>
        <v>calcite</v>
      </c>
      <c r="I180" s="133" t="s">
        <v>65</v>
      </c>
      <c r="J180" s="136">
        <v>25</v>
      </c>
      <c r="K180" s="136" t="s">
        <v>59</v>
      </c>
      <c r="L180" s="136" t="str">
        <f>$K$202</f>
        <v>SiO2</v>
      </c>
      <c r="M180" s="136" t="str">
        <f>$J$202</f>
        <v>Ca-stilbite</v>
      </c>
      <c r="N180" s="136" t="str">
        <f>$G$202</f>
        <v>C0.67A0.05SH1.8</v>
      </c>
      <c r="O180" s="136" t="str">
        <f>$S$202</f>
        <v>ettringite</v>
      </c>
      <c r="P180" s="136" t="str">
        <f>$U$202</f>
        <v>calcite</v>
      </c>
      <c r="Q180" s="133" t="s">
        <v>66</v>
      </c>
      <c r="R180" s="136">
        <v>25</v>
      </c>
      <c r="S180" s="136" t="s">
        <v>59</v>
      </c>
      <c r="T180" s="136" t="str">
        <f>$I$202</f>
        <v>strätlingite</v>
      </c>
      <c r="U180" s="136" t="str">
        <f>$J$202</f>
        <v>Ca-stilbite</v>
      </c>
      <c r="V180" s="136" t="str">
        <f>$G$202</f>
        <v>C0.67A0.05SH1.8</v>
      </c>
      <c r="W180" s="136" t="str">
        <f>$T$202</f>
        <v>gypsum</v>
      </c>
      <c r="X180" s="136" t="str">
        <f>$U$202</f>
        <v>calcite</v>
      </c>
      <c r="Y180" s="133" t="s">
        <v>67</v>
      </c>
      <c r="Z180" s="136">
        <v>25</v>
      </c>
      <c r="AA180" s="136" t="s">
        <v>59</v>
      </c>
      <c r="AB180" s="136" t="str">
        <f>$K$202</f>
        <v>SiO2</v>
      </c>
      <c r="AC180" s="136" t="str">
        <f>$J$202</f>
        <v>Ca-stilbite</v>
      </c>
      <c r="AD180" s="136" t="str">
        <f>$G$202</f>
        <v>C0.67A0.05SH1.8</v>
      </c>
      <c r="AE180" s="136" t="str">
        <f>$T$202</f>
        <v>gypsum</v>
      </c>
      <c r="AF180" s="136" t="str">
        <f>$U$202</f>
        <v>calcite</v>
      </c>
      <c r="AG180" s="133" t="s">
        <v>68</v>
      </c>
      <c r="AH180" s="136">
        <v>25</v>
      </c>
      <c r="AI180" s="136" t="s">
        <v>59</v>
      </c>
      <c r="AJ180" s="136" t="str">
        <f>$K$202</f>
        <v>SiO2</v>
      </c>
      <c r="AK180" s="136" t="str">
        <f>$H$202</f>
        <v>C0.67SH1.8</v>
      </c>
      <c r="AL180" s="136" t="str">
        <f>$G$202</f>
        <v>C0.67A0.05SH1.8</v>
      </c>
      <c r="AM180" s="136" t="str">
        <f>$S$202</f>
        <v>ettringite</v>
      </c>
      <c r="AN180" s="136" t="str">
        <f>$U$202</f>
        <v>calcite</v>
      </c>
      <c r="AO180" s="133" t="s">
        <v>69</v>
      </c>
      <c r="AP180" s="136">
        <v>25</v>
      </c>
      <c r="AQ180" s="136" t="s">
        <v>59</v>
      </c>
      <c r="AR180" s="136" t="str">
        <f>$F$202</f>
        <v>C1.3A0.1SH3</v>
      </c>
      <c r="AS180" s="136" t="str">
        <f>$I$202</f>
        <v>strätlingite</v>
      </c>
      <c r="AT180" s="136" t="str">
        <f>$G$202</f>
        <v>C0.67A0.05SH1.8</v>
      </c>
      <c r="AU180" s="136" t="str">
        <f>$S$202</f>
        <v>ettringite</v>
      </c>
      <c r="AV180" s="136" t="str">
        <f>$U$202</f>
        <v>calcite</v>
      </c>
      <c r="AW180" s="138" t="s">
        <v>70</v>
      </c>
      <c r="AX180" s="136">
        <v>25</v>
      </c>
      <c r="AY180" s="136" t="s">
        <v>59</v>
      </c>
      <c r="AZ180" s="136" t="str">
        <f>$F$202</f>
        <v>C1.3A0.1SH3</v>
      </c>
      <c r="BA180" s="136" t="str">
        <f>$H$202</f>
        <v>C0.67SH1.8</v>
      </c>
      <c r="BB180" s="136" t="str">
        <f>$G$202</f>
        <v>C0.67A0.05SH1.8</v>
      </c>
      <c r="BC180" s="136" t="str">
        <f>$S$202</f>
        <v>ettringite</v>
      </c>
      <c r="BD180" s="137" t="str">
        <f>$U$202</f>
        <v>calcite</v>
      </c>
      <c r="BE180" s="138" t="s">
        <v>71</v>
      </c>
      <c r="BF180" s="136">
        <v>25</v>
      </c>
      <c r="BG180" s="136" t="s">
        <v>59</v>
      </c>
      <c r="BH180" s="136" t="str">
        <f>$F$202</f>
        <v>C1.3A0.1SH3</v>
      </c>
      <c r="BI180" s="136" t="str">
        <f>$E$202</f>
        <v>C1.75A0.05SH4.3</v>
      </c>
      <c r="BJ180" s="136" t="str">
        <f>$D$202</f>
        <v>C1.75SH4.4</v>
      </c>
      <c r="BK180" s="136" t="str">
        <f>$S$202</f>
        <v>ettringite</v>
      </c>
      <c r="BL180" s="137" t="str">
        <f>$U$202</f>
        <v>calcite</v>
      </c>
      <c r="BM180" s="138" t="s">
        <v>72</v>
      </c>
      <c r="BN180" s="136">
        <v>25</v>
      </c>
      <c r="BO180" s="136" t="s">
        <v>59</v>
      </c>
      <c r="BP180" s="136" t="str">
        <f>$F$202</f>
        <v>C1.3A0.1SH3</v>
      </c>
      <c r="BQ180" s="136" t="str">
        <f>$H$202</f>
        <v>C0.67SH1.8</v>
      </c>
      <c r="BR180" s="136" t="str">
        <f>$D$202</f>
        <v>C1.75SH4.4</v>
      </c>
      <c r="BS180" s="136" t="str">
        <f>$S$202</f>
        <v>ettringite</v>
      </c>
      <c r="BT180" s="137" t="str">
        <f>$U$202</f>
        <v>calcite</v>
      </c>
    </row>
    <row r="181" spans="1:72" hidden="1" outlineLevel="1" x14ac:dyDescent="0.2">
      <c r="A181" s="132"/>
      <c r="B181" s="133"/>
      <c r="C181" s="138">
        <v>0</v>
      </c>
      <c r="D181" s="138">
        <f>$I$203</f>
        <v>0.26810599086468712</v>
      </c>
      <c r="E181" s="138">
        <f>$J$203</f>
        <v>8.8921476117117551E-2</v>
      </c>
      <c r="F181" s="138">
        <f>$L$203</f>
        <v>0</v>
      </c>
      <c r="G181" s="138">
        <f>$S$203</f>
        <v>0.13403810838353239</v>
      </c>
      <c r="H181" s="138">
        <f>$U$203</f>
        <v>0</v>
      </c>
      <c r="I181" s="133"/>
      <c r="J181" s="133"/>
      <c r="K181" s="138">
        <v>0</v>
      </c>
      <c r="L181" s="138">
        <f>$K$203</f>
        <v>0</v>
      </c>
      <c r="M181" s="138">
        <f>$J$203</f>
        <v>8.8921476117117551E-2</v>
      </c>
      <c r="N181" s="138">
        <f>$G$203</f>
        <v>0.26974658269181312</v>
      </c>
      <c r="O181" s="138">
        <f>$S$203</f>
        <v>0.13403810838353239</v>
      </c>
      <c r="P181" s="138">
        <f>$U$203</f>
        <v>0</v>
      </c>
      <c r="Q181" s="133"/>
      <c r="R181" s="133"/>
      <c r="S181" s="138">
        <v>0</v>
      </c>
      <c r="T181" s="138">
        <f>$I$203</f>
        <v>0.26810599086468712</v>
      </c>
      <c r="U181" s="138">
        <f>$J$203</f>
        <v>8.8921476117117551E-2</v>
      </c>
      <c r="V181" s="138">
        <f>$G$203</f>
        <v>0.26974658269181312</v>
      </c>
      <c r="W181" s="138">
        <f>$T$203</f>
        <v>0</v>
      </c>
      <c r="X181" s="138">
        <f>$U$203</f>
        <v>0</v>
      </c>
      <c r="Y181" s="133"/>
      <c r="Z181" s="133"/>
      <c r="AA181" s="138">
        <v>0</v>
      </c>
      <c r="AB181" s="138">
        <f>$K$203</f>
        <v>0</v>
      </c>
      <c r="AC181" s="138">
        <f>$J$203</f>
        <v>8.8921476117117551E-2</v>
      </c>
      <c r="AD181" s="138">
        <f>$G$203</f>
        <v>0.26974658269181312</v>
      </c>
      <c r="AE181" s="138">
        <f>$T$203</f>
        <v>0</v>
      </c>
      <c r="AF181" s="138">
        <f>$U$203</f>
        <v>0</v>
      </c>
      <c r="AG181" s="133"/>
      <c r="AH181" s="133"/>
      <c r="AI181" s="138">
        <v>0</v>
      </c>
      <c r="AJ181" s="138">
        <f>$K$203</f>
        <v>0</v>
      </c>
      <c r="AK181" s="138">
        <f>$H$203</f>
        <v>0.28004746800509844</v>
      </c>
      <c r="AL181" s="138">
        <f>$G$203</f>
        <v>0.26974658269181312</v>
      </c>
      <c r="AM181" s="138">
        <f>$S$203</f>
        <v>0.13403810838353239</v>
      </c>
      <c r="AN181" s="138">
        <f>$U$203</f>
        <v>0</v>
      </c>
      <c r="AP181" s="133"/>
      <c r="AQ181" s="138">
        <v>0</v>
      </c>
      <c r="AR181" s="138">
        <f>$F$203</f>
        <v>0.36962820238752458</v>
      </c>
      <c r="AS181" s="138">
        <f>$I$203</f>
        <v>0.26810599086468712</v>
      </c>
      <c r="AT181" s="138">
        <f>$G$203</f>
        <v>0.26974658269181312</v>
      </c>
      <c r="AU181" s="138">
        <f>$S$203</f>
        <v>0.13403810838353239</v>
      </c>
      <c r="AV181" s="138">
        <f>$U$203</f>
        <v>0</v>
      </c>
      <c r="AW181" s="133"/>
      <c r="AX181" s="133"/>
      <c r="AY181" s="138">
        <v>0</v>
      </c>
      <c r="AZ181" s="138">
        <f>$F$203</f>
        <v>0.36962820238752458</v>
      </c>
      <c r="BA181" s="138">
        <f>$H$203</f>
        <v>0.28004746800509844</v>
      </c>
      <c r="BB181" s="138">
        <f>$G$203</f>
        <v>0.26974658269181312</v>
      </c>
      <c r="BC181" s="138">
        <f>$S$203</f>
        <v>0.13403810838353239</v>
      </c>
      <c r="BD181" s="139">
        <f>$U$203</f>
        <v>0</v>
      </c>
      <c r="BE181" s="133"/>
      <c r="BF181" s="133"/>
      <c r="BG181" s="138">
        <v>0</v>
      </c>
      <c r="BH181" s="138">
        <f>$F$203</f>
        <v>0.36962820238752458</v>
      </c>
      <c r="BI181" s="138">
        <f>$E$203</f>
        <v>0.41692537379616368</v>
      </c>
      <c r="BJ181" s="138">
        <f>$D$203</f>
        <v>0.42615545963501011</v>
      </c>
      <c r="BK181" s="138">
        <f>$S$203</f>
        <v>0.13403810838353239</v>
      </c>
      <c r="BL181" s="139">
        <f>$U$203</f>
        <v>0</v>
      </c>
      <c r="BM181" s="133"/>
      <c r="BN181" s="133"/>
      <c r="BO181" s="138">
        <v>0</v>
      </c>
      <c r="BP181" s="138">
        <f>$F$203</f>
        <v>0.36962820238752458</v>
      </c>
      <c r="BQ181" s="138">
        <f>$H$203</f>
        <v>0.28004746800509844</v>
      </c>
      <c r="BR181" s="138">
        <f>$D$203</f>
        <v>0.42615545963501011</v>
      </c>
      <c r="BS181" s="138">
        <f>$S$203</f>
        <v>0.13403810838353239</v>
      </c>
      <c r="BT181" s="139">
        <f>$U$203</f>
        <v>0</v>
      </c>
    </row>
    <row r="182" spans="1:72" hidden="1" outlineLevel="1" x14ac:dyDescent="0.2">
      <c r="A182" s="132"/>
      <c r="B182" s="133"/>
      <c r="C182" s="138">
        <v>0</v>
      </c>
      <c r="D182" s="138">
        <f>$I$204</f>
        <v>0.1436314877910809</v>
      </c>
      <c r="E182" s="138">
        <f>$J$204</f>
        <v>0.57165110873154523</v>
      </c>
      <c r="F182" s="138">
        <f>$L$204</f>
        <v>0</v>
      </c>
      <c r="G182" s="138">
        <f>$S$204</f>
        <v>0</v>
      </c>
      <c r="H182" s="138">
        <f>$U$204</f>
        <v>0</v>
      </c>
      <c r="I182" s="133"/>
      <c r="J182" s="133"/>
      <c r="K182" s="138">
        <v>0</v>
      </c>
      <c r="L182" s="138">
        <f>$K$204</f>
        <v>0.99999999999999989</v>
      </c>
      <c r="M182" s="138">
        <f>$J$204</f>
        <v>0.57165110873154523</v>
      </c>
      <c r="N182" s="138">
        <f>$G$204</f>
        <v>0.43350951351747569</v>
      </c>
      <c r="O182" s="138">
        <f>$S$204</f>
        <v>0</v>
      </c>
      <c r="P182" s="138">
        <f>$U$204</f>
        <v>0</v>
      </c>
      <c r="Q182" s="133"/>
      <c r="R182" s="133"/>
      <c r="S182" s="138">
        <v>0</v>
      </c>
      <c r="T182" s="138">
        <f>$I$204</f>
        <v>0.1436314877910809</v>
      </c>
      <c r="U182" s="138">
        <f>$J$204</f>
        <v>0.57165110873154523</v>
      </c>
      <c r="V182" s="138">
        <f>$G$204</f>
        <v>0.43350951351747569</v>
      </c>
      <c r="W182" s="138">
        <f>$T$204</f>
        <v>0</v>
      </c>
      <c r="X182" s="138">
        <f>$U$204</f>
        <v>0</v>
      </c>
      <c r="Y182" s="133"/>
      <c r="Z182" s="133"/>
      <c r="AA182" s="138">
        <v>0</v>
      </c>
      <c r="AB182" s="138">
        <f>$K$204</f>
        <v>0.99999999999999989</v>
      </c>
      <c r="AC182" s="138">
        <f>$J$204</f>
        <v>0.57165110873154523</v>
      </c>
      <c r="AD182" s="138">
        <f>$G$204</f>
        <v>0.43350951351747569</v>
      </c>
      <c r="AE182" s="138">
        <f>$T$204</f>
        <v>0</v>
      </c>
      <c r="AF182" s="138">
        <f>$U$204</f>
        <v>0</v>
      </c>
      <c r="AG182" s="133"/>
      <c r="AH182" s="133"/>
      <c r="AI182" s="138">
        <v>0</v>
      </c>
      <c r="AJ182" s="138">
        <f>$K$204</f>
        <v>0.99999999999999989</v>
      </c>
      <c r="AK182" s="138">
        <f>$H$204</f>
        <v>0.45006405792133763</v>
      </c>
      <c r="AL182" s="138">
        <f>$G$204</f>
        <v>0.43350951351747569</v>
      </c>
      <c r="AM182" s="138">
        <f>$S$204</f>
        <v>0</v>
      </c>
      <c r="AN182" s="138">
        <f>$U$204</f>
        <v>0</v>
      </c>
      <c r="AP182" s="133"/>
      <c r="AQ182" s="138">
        <v>0</v>
      </c>
      <c r="AR182" s="138">
        <f>$F$204</f>
        <v>0.30464558189920393</v>
      </c>
      <c r="AS182" s="138">
        <f>$I$204</f>
        <v>0.1436314877910809</v>
      </c>
      <c r="AT182" s="138">
        <f>$G$204</f>
        <v>0.43350951351747569</v>
      </c>
      <c r="AU182" s="138">
        <f>$S$204</f>
        <v>0</v>
      </c>
      <c r="AV182" s="138">
        <f>$U$204</f>
        <v>0</v>
      </c>
      <c r="AW182" s="133"/>
      <c r="AX182" s="133"/>
      <c r="AY182" s="138">
        <v>0</v>
      </c>
      <c r="AZ182" s="138">
        <f>$F$204</f>
        <v>0.30464558189920393</v>
      </c>
      <c r="BA182" s="138">
        <f>$H$204</f>
        <v>0.45006405792133763</v>
      </c>
      <c r="BB182" s="138">
        <f>$G$204</f>
        <v>0.43350951351747569</v>
      </c>
      <c r="BC182" s="138">
        <f>$S$204</f>
        <v>0</v>
      </c>
      <c r="BD182" s="139">
        <f>$U$204</f>
        <v>0</v>
      </c>
      <c r="BE182" s="133"/>
      <c r="BF182" s="133"/>
      <c r="BG182" s="138">
        <v>0</v>
      </c>
      <c r="BH182" s="138">
        <f>$F$204</f>
        <v>0.30464558189920393</v>
      </c>
      <c r="BI182" s="138">
        <f>$E$204</f>
        <v>0.25526625940759262</v>
      </c>
      <c r="BJ182" s="138">
        <f>$D$204</f>
        <v>0.26091746135925231</v>
      </c>
      <c r="BK182" s="138">
        <f>$S$204</f>
        <v>0</v>
      </c>
      <c r="BL182" s="139">
        <f>$U$204</f>
        <v>0</v>
      </c>
      <c r="BM182" s="133"/>
      <c r="BN182" s="133"/>
      <c r="BO182" s="138">
        <v>0</v>
      </c>
      <c r="BP182" s="138">
        <f>$F$204</f>
        <v>0.30464558189920393</v>
      </c>
      <c r="BQ182" s="138">
        <f>$H$204</f>
        <v>0.45006405792133763</v>
      </c>
      <c r="BR182" s="138">
        <f>$D$204</f>
        <v>0.26091746135925231</v>
      </c>
      <c r="BS182" s="138">
        <f>$S$204</f>
        <v>0</v>
      </c>
      <c r="BT182" s="139">
        <f>$U$204</f>
        <v>0</v>
      </c>
    </row>
    <row r="183" spans="1:72" hidden="1" outlineLevel="1" x14ac:dyDescent="0.2">
      <c r="A183" s="132"/>
      <c r="B183" s="133"/>
      <c r="C183" s="138">
        <v>0</v>
      </c>
      <c r="D183" s="138">
        <f>$I$205</f>
        <v>0.24373838184384281</v>
      </c>
      <c r="E183" s="138">
        <f>$J$205</f>
        <v>0.16167916748186939</v>
      </c>
      <c r="F183" s="138">
        <f>$L$205</f>
        <v>0.65356811475743049</v>
      </c>
      <c r="G183" s="138">
        <f>$S$205</f>
        <v>8.1237104617828668E-2</v>
      </c>
      <c r="H183" s="138">
        <f>$U$205</f>
        <v>0</v>
      </c>
      <c r="I183" s="133"/>
      <c r="J183" s="133"/>
      <c r="K183" s="138">
        <v>0</v>
      </c>
      <c r="L183" s="138">
        <f>$K$205</f>
        <v>0</v>
      </c>
      <c r="M183" s="138">
        <f>$J$205</f>
        <v>0.16167916748186939</v>
      </c>
      <c r="N183" s="138">
        <f>$G$205</f>
        <v>3.6782640409724413E-2</v>
      </c>
      <c r="O183" s="138">
        <f>$S$205</f>
        <v>8.1237104617828668E-2</v>
      </c>
      <c r="P183" s="138">
        <f>$U$205</f>
        <v>0</v>
      </c>
      <c r="Q183" s="133"/>
      <c r="R183" s="133"/>
      <c r="S183" s="138">
        <v>0</v>
      </c>
      <c r="T183" s="138">
        <f>$I$205</f>
        <v>0.24373838184384281</v>
      </c>
      <c r="U183" s="138">
        <f>$J$205</f>
        <v>0.16167916748186939</v>
      </c>
      <c r="V183" s="138">
        <f>$G$205</f>
        <v>3.6782640409724413E-2</v>
      </c>
      <c r="W183" s="138">
        <f>$T$205</f>
        <v>0</v>
      </c>
      <c r="X183" s="138">
        <f>$U$205</f>
        <v>0</v>
      </c>
      <c r="Y183" s="133"/>
      <c r="Z183" s="133"/>
      <c r="AA183" s="138">
        <v>0</v>
      </c>
      <c r="AB183" s="138">
        <f>$K$205</f>
        <v>0</v>
      </c>
      <c r="AC183" s="138">
        <f>$J$205</f>
        <v>0.16167916748186939</v>
      </c>
      <c r="AD183" s="138">
        <f>$G$205</f>
        <v>3.6782640409724413E-2</v>
      </c>
      <c r="AE183" s="138">
        <f>$T$205</f>
        <v>0</v>
      </c>
      <c r="AF183" s="138">
        <f>$U$205</f>
        <v>0</v>
      </c>
      <c r="AG183" s="133"/>
      <c r="AH183" s="133"/>
      <c r="AI183" s="138">
        <v>0</v>
      </c>
      <c r="AJ183" s="138">
        <f>$K$205</f>
        <v>0</v>
      </c>
      <c r="AK183" s="138">
        <f>$H$205</f>
        <v>0</v>
      </c>
      <c r="AL183" s="138">
        <f>$G$205</f>
        <v>3.6782640409724413E-2</v>
      </c>
      <c r="AM183" s="138">
        <f>$S$205</f>
        <v>8.1237104617828668E-2</v>
      </c>
      <c r="AN183" s="138">
        <f>$U$205</f>
        <v>0</v>
      </c>
      <c r="AP183" s="133"/>
      <c r="AQ183" s="138">
        <v>0</v>
      </c>
      <c r="AR183" s="138">
        <f>$F$205</f>
        <v>5.169745319076114E-2</v>
      </c>
      <c r="AS183" s="138">
        <f>$I$205</f>
        <v>0.24373838184384281</v>
      </c>
      <c r="AT183" s="138">
        <f>$G$205</f>
        <v>3.6782640409724413E-2</v>
      </c>
      <c r="AU183" s="138">
        <f>$S$205</f>
        <v>8.1237104617828668E-2</v>
      </c>
      <c r="AV183" s="138">
        <f>$U$205</f>
        <v>0</v>
      </c>
      <c r="AW183" s="133"/>
      <c r="AX183" s="133"/>
      <c r="AY183" s="138">
        <v>0</v>
      </c>
      <c r="AZ183" s="138">
        <f>$F$205</f>
        <v>5.169745319076114E-2</v>
      </c>
      <c r="BA183" s="138">
        <f>$H$205</f>
        <v>0</v>
      </c>
      <c r="BB183" s="138">
        <f>$G$205</f>
        <v>3.6782640409724413E-2</v>
      </c>
      <c r="BC183" s="138">
        <f>$S$205</f>
        <v>8.1237104617828668E-2</v>
      </c>
      <c r="BD183" s="139">
        <f>$U$205</f>
        <v>0</v>
      </c>
      <c r="BE183" s="133"/>
      <c r="BF183" s="133"/>
      <c r="BG183" s="138">
        <v>0</v>
      </c>
      <c r="BH183" s="138">
        <f>$F$205</f>
        <v>5.169745319076114E-2</v>
      </c>
      <c r="BI183" s="138">
        <f>$E$205</f>
        <v>2.1658964188213614E-2</v>
      </c>
      <c r="BJ183" s="138">
        <f>$D$205</f>
        <v>0</v>
      </c>
      <c r="BK183" s="138">
        <f>$S$205</f>
        <v>8.1237104617828668E-2</v>
      </c>
      <c r="BL183" s="139">
        <f>$U$205</f>
        <v>0</v>
      </c>
      <c r="BM183" s="133"/>
      <c r="BN183" s="133"/>
      <c r="BO183" s="138">
        <v>0</v>
      </c>
      <c r="BP183" s="138">
        <f>$F$205</f>
        <v>5.169745319076114E-2</v>
      </c>
      <c r="BQ183" s="138">
        <f>$H$205</f>
        <v>0</v>
      </c>
      <c r="BR183" s="138">
        <f>$D$205</f>
        <v>0</v>
      </c>
      <c r="BS183" s="138">
        <f>$S$205</f>
        <v>8.1237104617828668E-2</v>
      </c>
      <c r="BT183" s="139">
        <f>$U$205</f>
        <v>0</v>
      </c>
    </row>
    <row r="184" spans="1:72" hidden="1" outlineLevel="1" x14ac:dyDescent="0.2">
      <c r="A184" s="132"/>
      <c r="B184" s="133"/>
      <c r="C184" s="138">
        <v>0</v>
      </c>
      <c r="D184" s="138">
        <f>$I$206</f>
        <v>0</v>
      </c>
      <c r="E184" s="138">
        <f>$J$206</f>
        <v>0</v>
      </c>
      <c r="F184" s="138">
        <f>$L$206</f>
        <v>0</v>
      </c>
      <c r="G184" s="138">
        <f>$S$206</f>
        <v>0</v>
      </c>
      <c r="H184" s="138">
        <f>$U$206</f>
        <v>1</v>
      </c>
      <c r="I184" s="133"/>
      <c r="J184" s="133"/>
      <c r="K184" s="138">
        <v>0</v>
      </c>
      <c r="L184" s="138">
        <f>$K$206</f>
        <v>0</v>
      </c>
      <c r="M184" s="138">
        <f>$J$206</f>
        <v>0</v>
      </c>
      <c r="N184" s="138">
        <f>$G$206</f>
        <v>0</v>
      </c>
      <c r="O184" s="138">
        <f>$S$206</f>
        <v>0</v>
      </c>
      <c r="P184" s="138">
        <f>$U$206</f>
        <v>1</v>
      </c>
      <c r="Q184" s="133"/>
      <c r="R184" s="133"/>
      <c r="S184" s="138">
        <v>0</v>
      </c>
      <c r="T184" s="138">
        <f>$I$206</f>
        <v>0</v>
      </c>
      <c r="U184" s="138">
        <f>$J$206</f>
        <v>0</v>
      </c>
      <c r="V184" s="138">
        <f>$G$206</f>
        <v>0</v>
      </c>
      <c r="W184" s="138">
        <f>$T$206</f>
        <v>0</v>
      </c>
      <c r="X184" s="138">
        <f>$U$206</f>
        <v>1</v>
      </c>
      <c r="Y184" s="133"/>
      <c r="Z184" s="133"/>
      <c r="AA184" s="138">
        <v>0</v>
      </c>
      <c r="AB184" s="138">
        <f>$K$206</f>
        <v>0</v>
      </c>
      <c r="AC184" s="138">
        <f>$J$206</f>
        <v>0</v>
      </c>
      <c r="AD184" s="138">
        <f>$G$206</f>
        <v>0</v>
      </c>
      <c r="AE184" s="138">
        <f>$T$206</f>
        <v>0</v>
      </c>
      <c r="AF184" s="138">
        <f>$U$206</f>
        <v>1</v>
      </c>
      <c r="AG184" s="133"/>
      <c r="AH184" s="133"/>
      <c r="AI184" s="138">
        <v>0</v>
      </c>
      <c r="AJ184" s="138">
        <f>$K$206</f>
        <v>0</v>
      </c>
      <c r="AK184" s="138">
        <f>$H$206</f>
        <v>0</v>
      </c>
      <c r="AL184" s="138">
        <f>$G$206</f>
        <v>0</v>
      </c>
      <c r="AM184" s="138">
        <f>$S$206</f>
        <v>0</v>
      </c>
      <c r="AN184" s="138">
        <f>$U$206</f>
        <v>1</v>
      </c>
      <c r="AP184" s="133"/>
      <c r="AQ184" s="138">
        <v>0</v>
      </c>
      <c r="AR184" s="138">
        <f>$F$206</f>
        <v>0</v>
      </c>
      <c r="AS184" s="138">
        <f>$I$206</f>
        <v>0</v>
      </c>
      <c r="AT184" s="138">
        <f>$G$206</f>
        <v>0</v>
      </c>
      <c r="AU184" s="138">
        <f>$S$206</f>
        <v>0</v>
      </c>
      <c r="AV184" s="138">
        <f>$U$206</f>
        <v>1</v>
      </c>
      <c r="AW184" s="133"/>
      <c r="AX184" s="133"/>
      <c r="AY184" s="138">
        <v>0</v>
      </c>
      <c r="AZ184" s="138">
        <f>$F$206</f>
        <v>0</v>
      </c>
      <c r="BA184" s="138">
        <f>$H$206</f>
        <v>0</v>
      </c>
      <c r="BB184" s="138">
        <f>$G$206</f>
        <v>0</v>
      </c>
      <c r="BC184" s="138">
        <f>$S$206</f>
        <v>0</v>
      </c>
      <c r="BD184" s="139">
        <f>$U$206</f>
        <v>1</v>
      </c>
      <c r="BE184" s="133"/>
      <c r="BF184" s="133"/>
      <c r="BG184" s="138">
        <v>0</v>
      </c>
      <c r="BH184" s="138">
        <f>$F$206</f>
        <v>0</v>
      </c>
      <c r="BI184" s="138">
        <f>$E$206</f>
        <v>0</v>
      </c>
      <c r="BJ184" s="138">
        <f>$D$206</f>
        <v>0</v>
      </c>
      <c r="BK184" s="138">
        <f>$S$206</f>
        <v>0</v>
      </c>
      <c r="BL184" s="139">
        <f>$U$206</f>
        <v>1</v>
      </c>
      <c r="BM184" s="133"/>
      <c r="BN184" s="133"/>
      <c r="BO184" s="138">
        <v>0</v>
      </c>
      <c r="BP184" s="138">
        <f>$F$206</f>
        <v>0</v>
      </c>
      <c r="BQ184" s="138">
        <f>$H$206</f>
        <v>0</v>
      </c>
      <c r="BR184" s="138">
        <f>$D$206</f>
        <v>0</v>
      </c>
      <c r="BS184" s="138">
        <f>$S$206</f>
        <v>0</v>
      </c>
      <c r="BT184" s="139">
        <f>$U$206</f>
        <v>1</v>
      </c>
    </row>
    <row r="185" spans="1:72" hidden="1" outlineLevel="1" x14ac:dyDescent="0.2">
      <c r="A185" s="132"/>
      <c r="B185" s="133"/>
      <c r="C185" s="138">
        <v>0</v>
      </c>
      <c r="D185" s="138">
        <f>$I$207</f>
        <v>0</v>
      </c>
      <c r="E185" s="138">
        <f>$J$207</f>
        <v>0</v>
      </c>
      <c r="F185" s="138">
        <f>$L$207</f>
        <v>0</v>
      </c>
      <c r="G185" s="138">
        <f>$S$207</f>
        <v>0.32541028179458237</v>
      </c>
      <c r="H185" s="138">
        <f>$U$207</f>
        <v>0</v>
      </c>
      <c r="I185" s="133"/>
      <c r="J185" s="133"/>
      <c r="K185" s="138">
        <v>0</v>
      </c>
      <c r="L185" s="138">
        <f>$K$207</f>
        <v>0</v>
      </c>
      <c r="M185" s="138">
        <f>$J$207</f>
        <v>0</v>
      </c>
      <c r="N185" s="138">
        <f>$G$207</f>
        <v>0</v>
      </c>
      <c r="O185" s="138">
        <f>$S$207</f>
        <v>0.32541028179458237</v>
      </c>
      <c r="P185" s="138">
        <f>$U$207</f>
        <v>0</v>
      </c>
      <c r="Q185" s="133"/>
      <c r="R185" s="133"/>
      <c r="S185" s="138">
        <v>0</v>
      </c>
      <c r="T185" s="138">
        <f>$I$207</f>
        <v>0</v>
      </c>
      <c r="U185" s="138">
        <f>$J$207</f>
        <v>0</v>
      </c>
      <c r="V185" s="138">
        <f>$G$207</f>
        <v>0</v>
      </c>
      <c r="W185" s="138">
        <f>$T$207</f>
        <v>0.79072946520505982</v>
      </c>
      <c r="X185" s="138">
        <f>$U$207</f>
        <v>0</v>
      </c>
      <c r="Y185" s="133"/>
      <c r="Z185" s="133"/>
      <c r="AA185" s="138">
        <v>0</v>
      </c>
      <c r="AB185" s="138">
        <f>$K$207</f>
        <v>0</v>
      </c>
      <c r="AC185" s="138">
        <f>$J$207</f>
        <v>0</v>
      </c>
      <c r="AD185" s="138">
        <f>$G$207</f>
        <v>0</v>
      </c>
      <c r="AE185" s="138">
        <f>$T$207</f>
        <v>0.79072946520505982</v>
      </c>
      <c r="AF185" s="138">
        <f>$U$207</f>
        <v>0</v>
      </c>
      <c r="AG185" s="133"/>
      <c r="AH185" s="133"/>
      <c r="AI185" s="138">
        <v>0</v>
      </c>
      <c r="AJ185" s="138">
        <f>$K$207</f>
        <v>0</v>
      </c>
      <c r="AK185" s="138">
        <f>$H$207</f>
        <v>0</v>
      </c>
      <c r="AL185" s="138">
        <f>$G$207</f>
        <v>0</v>
      </c>
      <c r="AM185" s="138">
        <f>$S$207</f>
        <v>0.32541028179458237</v>
      </c>
      <c r="AN185" s="138">
        <f>$U$207</f>
        <v>0</v>
      </c>
      <c r="AP185" s="133"/>
      <c r="AQ185" s="138">
        <v>0</v>
      </c>
      <c r="AR185" s="138">
        <f>$F$207</f>
        <v>0</v>
      </c>
      <c r="AS185" s="138">
        <f>$I$207</f>
        <v>0</v>
      </c>
      <c r="AT185" s="138">
        <f>$G$207</f>
        <v>0</v>
      </c>
      <c r="AU185" s="138">
        <f>$S$207</f>
        <v>0.32541028179458237</v>
      </c>
      <c r="AV185" s="138">
        <f>$U$207</f>
        <v>0</v>
      </c>
      <c r="AW185" s="133"/>
      <c r="AX185" s="133"/>
      <c r="AY185" s="138">
        <v>0</v>
      </c>
      <c r="AZ185" s="138">
        <f>$F$207</f>
        <v>0</v>
      </c>
      <c r="BA185" s="138">
        <f>$H$207</f>
        <v>0</v>
      </c>
      <c r="BB185" s="138">
        <f>$G$207</f>
        <v>0</v>
      </c>
      <c r="BC185" s="138">
        <f>$S$207</f>
        <v>0.32541028179458237</v>
      </c>
      <c r="BD185" s="139">
        <f>$U$207</f>
        <v>0</v>
      </c>
      <c r="BE185" s="133"/>
      <c r="BF185" s="133"/>
      <c r="BG185" s="138">
        <v>0</v>
      </c>
      <c r="BH185" s="138">
        <f>$F$207</f>
        <v>0</v>
      </c>
      <c r="BI185" s="138">
        <f>$E$207</f>
        <v>0</v>
      </c>
      <c r="BJ185" s="138">
        <f>$D$207</f>
        <v>0</v>
      </c>
      <c r="BK185" s="138">
        <f>$S$207</f>
        <v>0.32541028179458237</v>
      </c>
      <c r="BL185" s="139">
        <f>$U$207</f>
        <v>0</v>
      </c>
      <c r="BM185" s="133"/>
      <c r="BN185" s="133"/>
      <c r="BO185" s="138">
        <v>0</v>
      </c>
      <c r="BP185" s="138">
        <f>$F$207</f>
        <v>0</v>
      </c>
      <c r="BQ185" s="138">
        <f>$H$207</f>
        <v>0</v>
      </c>
      <c r="BR185" s="138">
        <f>$D$207</f>
        <v>0</v>
      </c>
      <c r="BS185" s="138">
        <f>$S$207</f>
        <v>0.32541028179458237</v>
      </c>
      <c r="BT185" s="139">
        <f>$U$207</f>
        <v>0</v>
      </c>
    </row>
    <row r="186" spans="1:72" hidden="1" outlineLevel="1" x14ac:dyDescent="0.2">
      <c r="A186" s="132"/>
      <c r="B186" s="133"/>
      <c r="C186" s="138">
        <v>1</v>
      </c>
      <c r="D186" s="138">
        <f>$I$208</f>
        <v>0.34452413950038913</v>
      </c>
      <c r="E186" s="138">
        <f>$J$208</f>
        <v>0.17774824766946792</v>
      </c>
      <c r="F186" s="138">
        <f>$L$208</f>
        <v>0.34643188524256951</v>
      </c>
      <c r="G186" s="138">
        <f>$S$208</f>
        <v>0.45931450520405653</v>
      </c>
      <c r="H186" s="138">
        <f>$U$208</f>
        <v>0</v>
      </c>
      <c r="I186" s="133"/>
      <c r="J186" s="133"/>
      <c r="K186" s="138">
        <v>1</v>
      </c>
      <c r="L186" s="138">
        <f>$K$208</f>
        <v>0</v>
      </c>
      <c r="M186" s="138">
        <f>$J$208</f>
        <v>0.17774824766946792</v>
      </c>
      <c r="N186" s="138">
        <f>$G$208</f>
        <v>0.25996126338098668</v>
      </c>
      <c r="O186" s="138">
        <f>$S$208</f>
        <v>0.45931450520405653</v>
      </c>
      <c r="P186" s="138">
        <f>$U$208</f>
        <v>0</v>
      </c>
      <c r="Q186" s="133"/>
      <c r="R186" s="133"/>
      <c r="S186" s="138">
        <v>1</v>
      </c>
      <c r="T186" s="138">
        <f>$I$208</f>
        <v>0.34452413950038913</v>
      </c>
      <c r="U186" s="138">
        <f>$J$208</f>
        <v>0.17774824766946792</v>
      </c>
      <c r="V186" s="138">
        <f>$G$208</f>
        <v>0.25996126338098668</v>
      </c>
      <c r="W186" s="138">
        <f>$T$208</f>
        <v>0.20927053479494012</v>
      </c>
      <c r="X186" s="138">
        <f>$U$208</f>
        <v>0</v>
      </c>
      <c r="Y186" s="133"/>
      <c r="Z186" s="133"/>
      <c r="AA186" s="138">
        <v>1</v>
      </c>
      <c r="AB186" s="138">
        <f>$K$208</f>
        <v>0</v>
      </c>
      <c r="AC186" s="138">
        <f>$J$208</f>
        <v>0.17774824766946792</v>
      </c>
      <c r="AD186" s="138">
        <f>$G$208</f>
        <v>0.25996126338098668</v>
      </c>
      <c r="AE186" s="138">
        <f>$T$208</f>
        <v>0.20927053479494012</v>
      </c>
      <c r="AF186" s="138">
        <f>$U$208</f>
        <v>0</v>
      </c>
      <c r="AG186" s="133"/>
      <c r="AH186" s="133"/>
      <c r="AI186" s="138">
        <v>1</v>
      </c>
      <c r="AJ186" s="138">
        <f>$K$208</f>
        <v>0</v>
      </c>
      <c r="AK186" s="138">
        <f>$H$208</f>
        <v>0.26988847407356381</v>
      </c>
      <c r="AL186" s="138">
        <f>$G$208</f>
        <v>0.25996126338098668</v>
      </c>
      <c r="AM186" s="138">
        <f>$S$208</f>
        <v>0.45931450520405653</v>
      </c>
      <c r="AN186" s="138">
        <f>$U$208</f>
        <v>0</v>
      </c>
      <c r="AP186" s="133"/>
      <c r="AQ186" s="138">
        <v>1</v>
      </c>
      <c r="AR186" s="138">
        <f>$F$208</f>
        <v>0.27402876252251041</v>
      </c>
      <c r="AS186" s="138">
        <f>$I$208</f>
        <v>0.34452413950038913</v>
      </c>
      <c r="AT186" s="138">
        <f>$G$208</f>
        <v>0.25996126338098668</v>
      </c>
      <c r="AU186" s="138">
        <f>$S$208</f>
        <v>0.45931450520405653</v>
      </c>
      <c r="AV186" s="138">
        <f>$U$208</f>
        <v>0</v>
      </c>
      <c r="AW186" s="133"/>
      <c r="AX186" s="133"/>
      <c r="AY186" s="138">
        <v>1</v>
      </c>
      <c r="AZ186" s="138">
        <f>$F$208</f>
        <v>0.27402876252251041</v>
      </c>
      <c r="BA186" s="138">
        <f>$H$208</f>
        <v>0.26988847407356381</v>
      </c>
      <c r="BB186" s="138">
        <f>$G$208</f>
        <v>0.25996126338098668</v>
      </c>
      <c r="BC186" s="138">
        <f>$S$208</f>
        <v>0.45931450520405653</v>
      </c>
      <c r="BD186" s="139">
        <f>$U$208</f>
        <v>0</v>
      </c>
      <c r="BE186" s="133"/>
      <c r="BF186" s="133"/>
      <c r="BG186" s="138">
        <v>1</v>
      </c>
      <c r="BH186" s="138">
        <f>$F$208</f>
        <v>0.27402876252251041</v>
      </c>
      <c r="BI186" s="138">
        <f>$E$208</f>
        <v>0.30614940260803009</v>
      </c>
      <c r="BJ186" s="138">
        <f>$D$208</f>
        <v>0.31292707900573768</v>
      </c>
      <c r="BK186" s="138">
        <f>$S$208</f>
        <v>0.45931450520405653</v>
      </c>
      <c r="BL186" s="139">
        <f>$U$208</f>
        <v>0</v>
      </c>
      <c r="BM186" s="133"/>
      <c r="BN186" s="133"/>
      <c r="BO186" s="138">
        <v>1</v>
      </c>
      <c r="BP186" s="138">
        <f>$F$208</f>
        <v>0.27402876252251041</v>
      </c>
      <c r="BQ186" s="138">
        <f>$H$208</f>
        <v>0.26988847407356381</v>
      </c>
      <c r="BR186" s="138">
        <f>$D$208</f>
        <v>0.31292707900573768</v>
      </c>
      <c r="BS186" s="138">
        <f>$S$208</f>
        <v>0.45931450520405653</v>
      </c>
      <c r="BT186" s="139">
        <f>$U$208</f>
        <v>0</v>
      </c>
    </row>
    <row r="187" spans="1:72" hidden="1" outlineLevel="1" x14ac:dyDescent="0.2">
      <c r="B187" s="133"/>
      <c r="C187" s="140">
        <f t="shared" ref="C187:H187" si="99">SUM(C181:C186)</f>
        <v>1</v>
      </c>
      <c r="D187" s="140">
        <f t="shared" si="99"/>
        <v>1</v>
      </c>
      <c r="E187" s="140">
        <f t="shared" si="99"/>
        <v>1</v>
      </c>
      <c r="F187" s="140">
        <f t="shared" si="99"/>
        <v>1</v>
      </c>
      <c r="G187" s="140">
        <f t="shared" si="99"/>
        <v>1</v>
      </c>
      <c r="H187" s="140">
        <f t="shared" si="99"/>
        <v>1</v>
      </c>
      <c r="I187" s="133"/>
      <c r="J187" s="133"/>
      <c r="K187" s="140">
        <f t="shared" ref="K187:P187" si="100">SUM(K181:K186)</f>
        <v>1</v>
      </c>
      <c r="L187" s="140">
        <f t="shared" si="100"/>
        <v>0.99999999999999989</v>
      </c>
      <c r="M187" s="140">
        <f t="shared" si="100"/>
        <v>1</v>
      </c>
      <c r="N187" s="140">
        <f t="shared" si="100"/>
        <v>1</v>
      </c>
      <c r="O187" s="140">
        <f t="shared" si="100"/>
        <v>1</v>
      </c>
      <c r="P187" s="140">
        <f t="shared" si="100"/>
        <v>1</v>
      </c>
      <c r="R187" s="133"/>
      <c r="S187" s="140">
        <f t="shared" ref="S187:X187" si="101">SUM(S181:S186)</f>
        <v>1</v>
      </c>
      <c r="T187" s="140">
        <f t="shared" si="101"/>
        <v>1</v>
      </c>
      <c r="U187" s="140">
        <f t="shared" si="101"/>
        <v>1</v>
      </c>
      <c r="V187" s="140">
        <f t="shared" si="101"/>
        <v>1</v>
      </c>
      <c r="W187" s="140">
        <f t="shared" si="101"/>
        <v>1</v>
      </c>
      <c r="X187" s="140">
        <f t="shared" si="101"/>
        <v>1</v>
      </c>
      <c r="Z187" s="133"/>
      <c r="AA187" s="140">
        <f t="shared" ref="AA187:AF187" si="102">SUM(AA181:AA186)</f>
        <v>1</v>
      </c>
      <c r="AB187" s="140">
        <f t="shared" si="102"/>
        <v>0.99999999999999989</v>
      </c>
      <c r="AC187" s="140">
        <f t="shared" si="102"/>
        <v>1</v>
      </c>
      <c r="AD187" s="140">
        <f t="shared" si="102"/>
        <v>1</v>
      </c>
      <c r="AE187" s="140">
        <f t="shared" si="102"/>
        <v>1</v>
      </c>
      <c r="AF187" s="140">
        <f t="shared" si="102"/>
        <v>1</v>
      </c>
      <c r="AG187" s="133"/>
      <c r="AH187" s="133"/>
      <c r="AI187" s="140">
        <f t="shared" ref="AI187:AN187" si="103">SUM(AI181:AI186)</f>
        <v>1</v>
      </c>
      <c r="AJ187" s="140">
        <f t="shared" si="103"/>
        <v>0.99999999999999989</v>
      </c>
      <c r="AK187" s="140">
        <f t="shared" si="103"/>
        <v>1</v>
      </c>
      <c r="AL187" s="140">
        <f t="shared" si="103"/>
        <v>1</v>
      </c>
      <c r="AM187" s="140">
        <f t="shared" si="103"/>
        <v>1</v>
      </c>
      <c r="AN187" s="140">
        <f t="shared" si="103"/>
        <v>1</v>
      </c>
      <c r="AP187" s="133"/>
      <c r="AQ187" s="140">
        <f t="shared" ref="AQ187:AV187" si="104">SUM(AQ181:AQ186)</f>
        <v>1</v>
      </c>
      <c r="AR187" s="140">
        <f t="shared" si="104"/>
        <v>1</v>
      </c>
      <c r="AS187" s="140">
        <f t="shared" si="104"/>
        <v>1</v>
      </c>
      <c r="AT187" s="140">
        <f t="shared" si="104"/>
        <v>1</v>
      </c>
      <c r="AU187" s="140">
        <f t="shared" si="104"/>
        <v>1</v>
      </c>
      <c r="AV187" s="140">
        <f t="shared" si="104"/>
        <v>1</v>
      </c>
      <c r="AW187" s="133"/>
      <c r="AX187" s="133"/>
      <c r="AY187" s="140">
        <f t="shared" ref="AY187:BD187" si="105">SUM(AY181:AY186)</f>
        <v>1</v>
      </c>
      <c r="AZ187" s="140">
        <f t="shared" si="105"/>
        <v>1</v>
      </c>
      <c r="BA187" s="140">
        <f t="shared" si="105"/>
        <v>1</v>
      </c>
      <c r="BB187" s="140">
        <f t="shared" si="105"/>
        <v>1</v>
      </c>
      <c r="BC187" s="140">
        <f t="shared" si="105"/>
        <v>1</v>
      </c>
      <c r="BD187" s="141">
        <f t="shared" si="105"/>
        <v>1</v>
      </c>
      <c r="BE187" s="133"/>
      <c r="BF187" s="133"/>
      <c r="BG187" s="140">
        <f t="shared" ref="BG187:BL187" si="106">SUM(BG181:BG186)</f>
        <v>1</v>
      </c>
      <c r="BH187" s="140">
        <f t="shared" si="106"/>
        <v>1</v>
      </c>
      <c r="BI187" s="140">
        <f t="shared" si="106"/>
        <v>1</v>
      </c>
      <c r="BJ187" s="140">
        <f t="shared" si="106"/>
        <v>1</v>
      </c>
      <c r="BK187" s="140">
        <f t="shared" si="106"/>
        <v>1</v>
      </c>
      <c r="BL187" s="141">
        <f t="shared" si="106"/>
        <v>1</v>
      </c>
      <c r="BM187" s="133"/>
      <c r="BN187" s="133"/>
      <c r="BO187" s="140">
        <f t="shared" ref="BO187:BT187" si="107">SUM(BO181:BO186)</f>
        <v>1</v>
      </c>
      <c r="BP187" s="140">
        <f t="shared" si="107"/>
        <v>1</v>
      </c>
      <c r="BQ187" s="140">
        <f t="shared" si="107"/>
        <v>1</v>
      </c>
      <c r="BR187" s="140">
        <f t="shared" si="107"/>
        <v>1</v>
      </c>
      <c r="BS187" s="140">
        <f t="shared" si="107"/>
        <v>1</v>
      </c>
      <c r="BT187" s="141">
        <f t="shared" si="107"/>
        <v>1</v>
      </c>
    </row>
    <row r="188" spans="1:72" hidden="1" outlineLevel="1" x14ac:dyDescent="0.2">
      <c r="B188" s="142">
        <f t="array" ref="B188:B193">MMULT(C188:H193,$V$19:$V$24)</f>
        <v>7.093536154687996E-2</v>
      </c>
      <c r="C188" s="138">
        <f t="array" ref="C188:H193">MINVERSE(C181:H186)</f>
        <v>-0.78205085445934686</v>
      </c>
      <c r="D188" s="138">
        <v>-3.9372062723254289E-2</v>
      </c>
      <c r="E188" s="138">
        <v>-0.53006240270938942</v>
      </c>
      <c r="F188" s="138">
        <v>0</v>
      </c>
      <c r="G188" s="138">
        <v>-0.95703538140295197</v>
      </c>
      <c r="H188" s="138">
        <v>1</v>
      </c>
      <c r="J188" s="142">
        <f t="array" ref="J188:J193">MMULT(K188:P193,$V$19:$V$24)</f>
        <v>-3.1602482343422125</v>
      </c>
      <c r="K188" s="138">
        <f t="array" ref="K188:P193">MINVERSE(K181:P186)</f>
        <v>-0.87979254367277293</v>
      </c>
      <c r="L188" s="138">
        <v>0</v>
      </c>
      <c r="M188" s="138">
        <v>-0.61551403040475805</v>
      </c>
      <c r="N188" s="138">
        <v>0</v>
      </c>
      <c r="O188" s="138">
        <v>-0.89544250904287259</v>
      </c>
      <c r="P188" s="138">
        <v>1</v>
      </c>
      <c r="R188" s="142">
        <f t="array" ref="R188:R193">MMULT(S188:X193,$V$19:$V$24)</f>
        <v>1.3750971049602541</v>
      </c>
      <c r="S188" s="138">
        <f t="array" ref="S188:X193">MINVERSE(S181:X186)</f>
        <v>-0.82268463095917754</v>
      </c>
      <c r="T188" s="138">
        <v>-4.6956861209020428E-2</v>
      </c>
      <c r="U188" s="138">
        <v>-0.48089667545907466</v>
      </c>
      <c r="V188" s="138">
        <v>0</v>
      </c>
      <c r="W188" s="138">
        <v>-0.26465503563936371</v>
      </c>
      <c r="X188" s="138">
        <v>1</v>
      </c>
      <c r="Z188" s="142">
        <f t="array" ref="Z188:Z193">MMULT(AA188:AF193,$V$19:$V$24)</f>
        <v>-0.58156114283750071</v>
      </c>
      <c r="AA188" s="138">
        <f t="array" ref="AA188:AF193">MINVERSE(AA181:AF186)</f>
        <v>-0.87979254367277293</v>
      </c>
      <c r="AB188" s="138">
        <v>0</v>
      </c>
      <c r="AC188" s="138">
        <v>-0.61551403040475805</v>
      </c>
      <c r="AD188" s="138">
        <v>0</v>
      </c>
      <c r="AE188" s="138">
        <v>-0.26465503563936371</v>
      </c>
      <c r="AF188" s="138">
        <v>1</v>
      </c>
      <c r="AH188" s="142">
        <f t="array" ref="AH188:AH193">MMULT(AI188:AN193,$V$19:$V$24)</f>
        <v>-4.9733908255721744</v>
      </c>
      <c r="AI188" s="138">
        <f t="array" ref="AI188:AN193">MINVERSE(AI181:AN186)</f>
        <v>-0.96372402863021178</v>
      </c>
      <c r="AJ188" s="138">
        <v>0</v>
      </c>
      <c r="AK188" s="138">
        <v>8.8817841970012523E-16</v>
      </c>
      <c r="AL188" s="138">
        <v>0</v>
      </c>
      <c r="AM188" s="138">
        <v>-1.0145308180861607</v>
      </c>
      <c r="AN188" s="138">
        <v>1</v>
      </c>
      <c r="AP188" s="142">
        <f t="array" ref="AP188:AP193">MMULT(AQ188:AV193,$V$19:$V$24)</f>
        <v>10.411656345010137</v>
      </c>
      <c r="AQ188" s="138">
        <f t="array" ref="AQ188:AV193">MINVERSE(AQ181:AV186)</f>
        <v>-0.39033462290132692</v>
      </c>
      <c r="AR188" s="138">
        <v>-0.28766564716359533</v>
      </c>
      <c r="AS188" s="138">
        <v>-0.81462444391443056</v>
      </c>
      <c r="AT188" s="138">
        <v>0</v>
      </c>
      <c r="AU188" s="138">
        <v>-1.0473457005098243</v>
      </c>
      <c r="AV188" s="138">
        <v>1</v>
      </c>
      <c r="AW188" s="133"/>
      <c r="AX188" s="142">
        <f t="array" ref="AX188:AX193">MMULT(AY188:BD193,$V$19:$V$24)</f>
        <v>7.8474340006542178</v>
      </c>
      <c r="AY188" s="138">
        <f t="array" ref="AY188:BD193">MINVERSE(AY181:BD186)</f>
        <v>-0.50727523281838138</v>
      </c>
      <c r="AZ188" s="138">
        <v>-0.28402030175762416</v>
      </c>
      <c r="BA188" s="138">
        <v>0</v>
      </c>
      <c r="BB188" s="138">
        <v>0</v>
      </c>
      <c r="BC188" s="138">
        <v>-1.2025443400534237</v>
      </c>
      <c r="BD188" s="139">
        <v>1</v>
      </c>
      <c r="BE188" s="133"/>
      <c r="BF188" s="142">
        <f t="array" ref="BF188:BF193">MMULT(BG188:BL193,$V$19:$V$24)</f>
        <v>3.789444735593726</v>
      </c>
      <c r="BG188" s="138">
        <f t="array" ref="BG188:BL193">MINVERSE(BG181:BL186)</f>
        <v>-0.71390534431973585</v>
      </c>
      <c r="BH188" s="138">
        <v>-3.3314822304292058E-2</v>
      </c>
      <c r="BI188" s="138">
        <v>1.7763568394002505E-15</v>
      </c>
      <c r="BJ188" s="138">
        <v>0</v>
      </c>
      <c r="BK188" s="138">
        <v>-1.1174323726995368</v>
      </c>
      <c r="BL188" s="139">
        <v>1</v>
      </c>
      <c r="BM188" s="133"/>
      <c r="BN188" s="142">
        <f t="array" ref="BN188:BN193">MMULT(BO188:BT193,$V$19:$V$24)</f>
        <v>6.0635340526109012</v>
      </c>
      <c r="BO188" s="138">
        <f t="array" ref="BO188:BT193">MINVERSE(BO181:BT186)</f>
        <v>-0.59310884324541913</v>
      </c>
      <c r="BP188" s="138">
        <v>-0.23061127065025899</v>
      </c>
      <c r="BQ188" s="138">
        <v>0.29896439403252728</v>
      </c>
      <c r="BR188" s="138">
        <v>0</v>
      </c>
      <c r="BS188" s="138">
        <v>-1.2418240668867808</v>
      </c>
      <c r="BT188" s="139">
        <v>1</v>
      </c>
    </row>
    <row r="189" spans="1:72" hidden="1" outlineLevel="1" x14ac:dyDescent="0.2">
      <c r="B189" s="142">
        <v>141.43452731590935</v>
      </c>
      <c r="C189" s="138">
        <v>4.0689470883911421</v>
      </c>
      <c r="D189" s="138">
        <v>-0.63293287779155138</v>
      </c>
      <c r="E189" s="138">
        <v>0</v>
      </c>
      <c r="F189" s="138">
        <v>0</v>
      </c>
      <c r="G189" s="138">
        <v>-1.6760194786497695</v>
      </c>
      <c r="H189" s="138">
        <v>0</v>
      </c>
      <c r="J189" s="142">
        <v>-36.695593632604378</v>
      </c>
      <c r="K189" s="138">
        <v>-1.2161782377103429</v>
      </c>
      <c r="L189" s="138">
        <v>1</v>
      </c>
      <c r="M189" s="138">
        <v>-2.86683035193637</v>
      </c>
      <c r="N189" s="138">
        <v>0</v>
      </c>
      <c r="O189" s="138">
        <v>1.2166401918168437</v>
      </c>
      <c r="P189" s="138">
        <v>0</v>
      </c>
      <c r="R189" s="142">
        <v>47.287512572300749</v>
      </c>
      <c r="S189" s="138">
        <v>1.3801547324175945</v>
      </c>
      <c r="T189" s="138">
        <v>-1.1348293281550277</v>
      </c>
      <c r="U189" s="138">
        <v>3.2533631622223917</v>
      </c>
      <c r="V189" s="138">
        <v>0</v>
      </c>
      <c r="W189" s="138">
        <v>0</v>
      </c>
      <c r="X189" s="138">
        <v>0</v>
      </c>
      <c r="Z189" s="142">
        <v>-41.669272549714044</v>
      </c>
      <c r="AA189" s="138">
        <v>-1.2161782377103429</v>
      </c>
      <c r="AB189" s="138">
        <v>1</v>
      </c>
      <c r="AC189" s="138">
        <v>-2.86683035193637</v>
      </c>
      <c r="AD189" s="138">
        <v>0</v>
      </c>
      <c r="AE189" s="138">
        <v>0</v>
      </c>
      <c r="AF189" s="138">
        <v>0</v>
      </c>
      <c r="AH189" s="142">
        <v>-45.140522515067779</v>
      </c>
      <c r="AI189" s="138">
        <v>-1.6070991861749095</v>
      </c>
      <c r="AJ189" s="138">
        <v>1</v>
      </c>
      <c r="AK189" s="138">
        <v>1.7763568394002505E-15</v>
      </c>
      <c r="AL189" s="138">
        <v>0</v>
      </c>
      <c r="AM189" s="138">
        <v>0.66197212242844838</v>
      </c>
      <c r="AN189" s="138">
        <v>0</v>
      </c>
      <c r="AP189" s="142">
        <v>171.16348941998754</v>
      </c>
      <c r="AQ189" s="138">
        <v>6.2455750154351461</v>
      </c>
      <c r="AR189" s="138">
        <v>-3.4771938279979437</v>
      </c>
      <c r="AS189" s="138">
        <v>-4.8209130884133193</v>
      </c>
      <c r="AT189" s="138">
        <v>0</v>
      </c>
      <c r="AU189" s="138">
        <v>-1.3690656529430627</v>
      </c>
      <c r="AV189" s="138">
        <v>0</v>
      </c>
      <c r="AW189" s="133"/>
      <c r="AX189" s="142">
        <v>155.98852977587705</v>
      </c>
      <c r="AY189" s="138">
        <v>5.5535254199096462</v>
      </c>
      <c r="AZ189" s="138">
        <v>-3.4556208276899887</v>
      </c>
      <c r="BA189" s="138">
        <v>-4.8057935729100216E-15</v>
      </c>
      <c r="BB189" s="138">
        <v>0</v>
      </c>
      <c r="BC189" s="138">
        <v>-2.2875246536138931</v>
      </c>
      <c r="BD189" s="139">
        <v>0</v>
      </c>
      <c r="BE189" s="133"/>
      <c r="BF189" s="142">
        <v>-106.56766965593734</v>
      </c>
      <c r="BG189" s="138">
        <v>-7.8156614409528302</v>
      </c>
      <c r="BH189" s="138">
        <v>12.765288978244815</v>
      </c>
      <c r="BI189" s="138">
        <v>9.6115871458200432E-15</v>
      </c>
      <c r="BJ189" s="138">
        <v>0</v>
      </c>
      <c r="BK189" s="138">
        <v>3.2193096958526142</v>
      </c>
      <c r="BL189" s="139">
        <v>0</v>
      </c>
      <c r="BM189" s="133"/>
      <c r="BN189" s="142">
        <v>40.568315494487635</v>
      </c>
      <c r="BO189" s="138">
        <v>-6.007241966137527E-16</v>
      </c>
      <c r="BP189" s="138">
        <v>0</v>
      </c>
      <c r="BQ189" s="138">
        <v>19.343312644629663</v>
      </c>
      <c r="BR189" s="138">
        <v>0</v>
      </c>
      <c r="BS189" s="138">
        <v>-4.8289645437789295</v>
      </c>
      <c r="BT189" s="139">
        <v>0</v>
      </c>
    </row>
    <row r="190" spans="1:72" hidden="1" outlineLevel="1" x14ac:dyDescent="0.2">
      <c r="B190" s="142">
        <v>-10.529945171683451</v>
      </c>
      <c r="C190" s="138">
        <v>-1.0223524718523058</v>
      </c>
      <c r="D190" s="138">
        <v>1.9083477216194746</v>
      </c>
      <c r="E190" s="138">
        <v>0</v>
      </c>
      <c r="F190" s="138">
        <v>0</v>
      </c>
      <c r="G190" s="138">
        <v>0.42111205175383937</v>
      </c>
      <c r="H190" s="138">
        <v>0</v>
      </c>
      <c r="J190" s="142">
        <v>-19.696834926160303</v>
      </c>
      <c r="K190" s="138">
        <v>-0.91177859497124714</v>
      </c>
      <c r="L190" s="138">
        <v>0</v>
      </c>
      <c r="M190" s="138">
        <v>6.6865553267898044</v>
      </c>
      <c r="N190" s="138">
        <v>0</v>
      </c>
      <c r="O190" s="138">
        <v>-1.2937001073203054</v>
      </c>
      <c r="P190" s="138">
        <v>0</v>
      </c>
      <c r="R190" s="142">
        <v>-79.91632065824956</v>
      </c>
      <c r="S190" s="138">
        <v>-2.823730231493748</v>
      </c>
      <c r="T190" s="138">
        <v>1.5720982149146714</v>
      </c>
      <c r="U190" s="138">
        <v>2.179616448047438</v>
      </c>
      <c r="V190" s="138">
        <v>0</v>
      </c>
      <c r="W190" s="138">
        <v>0</v>
      </c>
      <c r="X190" s="138">
        <v>0</v>
      </c>
      <c r="Z190" s="142">
        <v>-14.40813166605119</v>
      </c>
      <c r="AA190" s="138">
        <v>-0.91177859497124714</v>
      </c>
      <c r="AB190" s="138">
        <v>0</v>
      </c>
      <c r="AC190" s="138">
        <v>6.6865553267898044</v>
      </c>
      <c r="AD190" s="138">
        <v>0</v>
      </c>
      <c r="AE190" s="138">
        <v>0</v>
      </c>
      <c r="AF190" s="138">
        <v>0</v>
      </c>
      <c r="AH190" s="142">
        <v>77.139248278509413</v>
      </c>
      <c r="AI190" s="138">
        <v>3.5708232148051215</v>
      </c>
      <c r="AJ190" s="138">
        <v>0</v>
      </c>
      <c r="AK190" s="138">
        <v>-26.186737788830001</v>
      </c>
      <c r="AL190" s="138">
        <v>0</v>
      </c>
      <c r="AM190" s="138">
        <v>5.0665527812274442</v>
      </c>
      <c r="AN190" s="138">
        <v>0</v>
      </c>
      <c r="AP190" s="142">
        <v>-15.288130415164927</v>
      </c>
      <c r="AQ190" s="138">
        <v>-0.69721071543423885</v>
      </c>
      <c r="AR190" s="138">
        <v>2.1733885946933231E-2</v>
      </c>
      <c r="AS190" s="138">
        <v>4.8568661627013228</v>
      </c>
      <c r="AT190" s="138">
        <v>0</v>
      </c>
      <c r="AU190" s="138">
        <v>-0.92530862108007828</v>
      </c>
      <c r="AV190" s="138">
        <v>0</v>
      </c>
      <c r="AW190" s="133"/>
      <c r="AX190" s="142">
        <v>82.428926194806593</v>
      </c>
      <c r="AY190" s="138">
        <v>3.759147066651785</v>
      </c>
      <c r="AZ190" s="138">
        <v>-0.11718246979820653</v>
      </c>
      <c r="BA190" s="138">
        <v>-26.186737788829998</v>
      </c>
      <c r="BB190" s="138">
        <v>0</v>
      </c>
      <c r="BC190" s="138">
        <v>4.9889812529837183</v>
      </c>
      <c r="BD190" s="139">
        <v>0</v>
      </c>
      <c r="BE190" s="133"/>
      <c r="BF190" s="142">
        <v>351.19665182926735</v>
      </c>
      <c r="BG190" s="138">
        <v>18.655083779046635</v>
      </c>
      <c r="BH190" s="138">
        <v>-30.469274693130192</v>
      </c>
      <c r="BI190" s="138">
        <v>46.17025963523129</v>
      </c>
      <c r="BJ190" s="138">
        <v>0</v>
      </c>
      <c r="BK190" s="138">
        <v>-19.210303740941605</v>
      </c>
      <c r="BL190" s="139">
        <v>0</v>
      </c>
      <c r="BM190" s="133"/>
      <c r="BN190" s="142">
        <v>-41.371686455840219</v>
      </c>
      <c r="BO190" s="138">
        <v>-2.1976071608147092</v>
      </c>
      <c r="BP190" s="138">
        <v>3.5893431004401131</v>
      </c>
      <c r="BQ190" s="138">
        <v>-5.4389513546448356</v>
      </c>
      <c r="BR190" s="138">
        <v>0</v>
      </c>
      <c r="BS190" s="138">
        <v>2.2630132119769195</v>
      </c>
      <c r="BT190" s="139">
        <v>0</v>
      </c>
    </row>
    <row r="191" spans="1:72" hidden="1" outlineLevel="1" x14ac:dyDescent="0.2">
      <c r="B191" s="142">
        <v>-46.93201943598639</v>
      </c>
      <c r="C191" s="138">
        <v>-1.2645437620794893</v>
      </c>
      <c r="D191" s="138">
        <v>-0.23604278110466914</v>
      </c>
      <c r="E191" s="138">
        <v>1.5300624027093894</v>
      </c>
      <c r="F191" s="138">
        <v>0</v>
      </c>
      <c r="G191" s="138">
        <v>0.13889915864783206</v>
      </c>
      <c r="H191" s="138">
        <v>0</v>
      </c>
      <c r="J191" s="142">
        <v>143.59617486289326</v>
      </c>
      <c r="K191" s="138">
        <v>4.0077493763543632</v>
      </c>
      <c r="L191" s="138">
        <v>0</v>
      </c>
      <c r="M191" s="138">
        <v>-2.2042109444486777</v>
      </c>
      <c r="N191" s="138">
        <v>0</v>
      </c>
      <c r="O191" s="138">
        <v>-1.1005412251047155</v>
      </c>
      <c r="P191" s="138">
        <v>0</v>
      </c>
      <c r="R191" s="142">
        <v>122.68998169132004</v>
      </c>
      <c r="S191" s="138">
        <v>3.2662601300353318</v>
      </c>
      <c r="T191" s="138">
        <v>0.6096879744493765</v>
      </c>
      <c r="U191" s="138">
        <v>-3.9520829348107558</v>
      </c>
      <c r="V191" s="138">
        <v>0</v>
      </c>
      <c r="W191" s="138">
        <v>0</v>
      </c>
      <c r="X191" s="138">
        <v>0</v>
      </c>
      <c r="Z191" s="142">
        <v>148.09523606893421</v>
      </c>
      <c r="AA191" s="138">
        <v>4.0077493763543632</v>
      </c>
      <c r="AB191" s="138">
        <v>0</v>
      </c>
      <c r="AC191" s="138">
        <v>-2.2042109444486777</v>
      </c>
      <c r="AD191" s="138">
        <v>0</v>
      </c>
      <c r="AE191" s="138">
        <v>0</v>
      </c>
      <c r="AF191" s="138">
        <v>0</v>
      </c>
      <c r="AH191" s="142">
        <v>57.018163131916914</v>
      </c>
      <c r="AI191" s="138">
        <v>0</v>
      </c>
      <c r="AJ191" s="138">
        <v>0</v>
      </c>
      <c r="AK191" s="138">
        <v>27.186737788829998</v>
      </c>
      <c r="AL191" s="138">
        <v>0</v>
      </c>
      <c r="AM191" s="138">
        <v>-6.7870377352207818</v>
      </c>
      <c r="AN191" s="138">
        <v>0</v>
      </c>
      <c r="AP191" s="142">
        <v>-82.243517280046433</v>
      </c>
      <c r="AQ191" s="138">
        <v>-4.1580296770995817</v>
      </c>
      <c r="AR191" s="138">
        <v>4.7431255892146069</v>
      </c>
      <c r="AS191" s="138">
        <v>1.7786713696264278</v>
      </c>
      <c r="AT191" s="138">
        <v>0</v>
      </c>
      <c r="AU191" s="138">
        <v>1.2686763248819155</v>
      </c>
      <c r="AV191" s="138">
        <v>0</v>
      </c>
      <c r="AW191" s="133"/>
      <c r="AX191" s="142">
        <v>-162.22139190155156</v>
      </c>
      <c r="AY191" s="138">
        <v>-7.8053972537430507</v>
      </c>
      <c r="AZ191" s="138">
        <v>4.8568235992458204</v>
      </c>
      <c r="BA191" s="138">
        <v>27.186737788830001</v>
      </c>
      <c r="BB191" s="138">
        <v>0</v>
      </c>
      <c r="BC191" s="138">
        <v>-3.5719559089674511</v>
      </c>
      <c r="BD191" s="139">
        <v>0</v>
      </c>
      <c r="BE191" s="133"/>
      <c r="BF191" s="142">
        <v>-164.37492883913734</v>
      </c>
      <c r="BG191" s="138">
        <v>-9.1255169937740668</v>
      </c>
      <c r="BH191" s="138">
        <v>18.737300537189668</v>
      </c>
      <c r="BI191" s="138">
        <v>-45.170259635231297</v>
      </c>
      <c r="BJ191" s="138">
        <v>0</v>
      </c>
      <c r="BK191" s="138">
        <v>15.035382768137476</v>
      </c>
      <c r="BL191" s="139">
        <v>0</v>
      </c>
      <c r="BM191" s="133"/>
      <c r="BN191" s="142">
        <v>78.783334978528018</v>
      </c>
      <c r="BO191" s="138">
        <v>3.790716004060128</v>
      </c>
      <c r="BP191" s="138">
        <v>-2.3587318297898534</v>
      </c>
      <c r="BQ191" s="138">
        <v>-13.203325684017354</v>
      </c>
      <c r="BR191" s="138">
        <v>0</v>
      </c>
      <c r="BS191" s="138">
        <v>1.7347317490377405</v>
      </c>
      <c r="BT191" s="139">
        <v>0</v>
      </c>
    </row>
    <row r="192" spans="1:72" hidden="1" outlineLevel="1" x14ac:dyDescent="0.2">
      <c r="B192" s="142">
        <v>12.562738362935917</v>
      </c>
      <c r="C192" s="138">
        <v>0</v>
      </c>
      <c r="D192" s="138">
        <v>0</v>
      </c>
      <c r="E192" s="138">
        <v>0</v>
      </c>
      <c r="F192" s="138">
        <v>0</v>
      </c>
      <c r="G192" s="138">
        <v>3.07304364965105</v>
      </c>
      <c r="H192" s="138">
        <v>0</v>
      </c>
      <c r="J192" s="142">
        <v>12.562738362935917</v>
      </c>
      <c r="K192" s="138">
        <v>0</v>
      </c>
      <c r="L192" s="138">
        <v>0</v>
      </c>
      <c r="M192" s="138">
        <v>0</v>
      </c>
      <c r="N192" s="138">
        <v>0</v>
      </c>
      <c r="O192" s="138">
        <v>3.07304364965105</v>
      </c>
      <c r="P192" s="138">
        <v>0</v>
      </c>
      <c r="R192" s="142">
        <v>5.169965722390824</v>
      </c>
      <c r="S192" s="138">
        <v>0</v>
      </c>
      <c r="T192" s="138">
        <v>0</v>
      </c>
      <c r="U192" s="138">
        <v>0</v>
      </c>
      <c r="V192" s="138">
        <v>0</v>
      </c>
      <c r="W192" s="138">
        <v>1.2646550356393638</v>
      </c>
      <c r="X192" s="138">
        <v>0</v>
      </c>
      <c r="Z192" s="142">
        <v>5.169965722390824</v>
      </c>
      <c r="AA192" s="138">
        <v>0</v>
      </c>
      <c r="AB192" s="138">
        <v>0</v>
      </c>
      <c r="AC192" s="138">
        <v>0</v>
      </c>
      <c r="AD192" s="138">
        <v>0</v>
      </c>
      <c r="AE192" s="138">
        <v>1.2646550356393638</v>
      </c>
      <c r="AF192" s="138">
        <v>0</v>
      </c>
      <c r="AH192" s="142">
        <v>12.562738362935917</v>
      </c>
      <c r="AI192" s="138">
        <v>0</v>
      </c>
      <c r="AJ192" s="138">
        <v>0</v>
      </c>
      <c r="AK192" s="138">
        <v>0</v>
      </c>
      <c r="AL192" s="138">
        <v>0</v>
      </c>
      <c r="AM192" s="138">
        <v>3.07304364965105</v>
      </c>
      <c r="AN192" s="138">
        <v>0</v>
      </c>
      <c r="AP192" s="142">
        <v>12.562738362935917</v>
      </c>
      <c r="AQ192" s="138">
        <v>0</v>
      </c>
      <c r="AR192" s="138">
        <v>0</v>
      </c>
      <c r="AS192" s="138">
        <v>0</v>
      </c>
      <c r="AT192" s="138">
        <v>0</v>
      </c>
      <c r="AU192" s="138">
        <v>3.07304364965105</v>
      </c>
      <c r="AV192" s="138">
        <v>0</v>
      </c>
      <c r="AW192" s="133"/>
      <c r="AX192" s="142">
        <v>12.562738362935917</v>
      </c>
      <c r="AY192" s="138">
        <v>0</v>
      </c>
      <c r="AZ192" s="138">
        <v>0</v>
      </c>
      <c r="BA192" s="138">
        <v>0</v>
      </c>
      <c r="BB192" s="138">
        <v>0</v>
      </c>
      <c r="BC192" s="138">
        <v>3.07304364965105</v>
      </c>
      <c r="BD192" s="139">
        <v>0</v>
      </c>
      <c r="BE192" s="133"/>
      <c r="BF192" s="142">
        <v>12.562738362935917</v>
      </c>
      <c r="BG192" s="138">
        <v>0</v>
      </c>
      <c r="BH192" s="138">
        <v>0</v>
      </c>
      <c r="BI192" s="138">
        <v>0</v>
      </c>
      <c r="BJ192" s="138">
        <v>0</v>
      </c>
      <c r="BK192" s="138">
        <v>3.07304364965105</v>
      </c>
      <c r="BL192" s="139">
        <v>0</v>
      </c>
      <c r="BM192" s="133"/>
      <c r="BN192" s="142">
        <v>12.562738362935917</v>
      </c>
      <c r="BO192" s="138">
        <v>0</v>
      </c>
      <c r="BP192" s="138">
        <v>0</v>
      </c>
      <c r="BQ192" s="138">
        <v>0</v>
      </c>
      <c r="BR192" s="138">
        <v>0</v>
      </c>
      <c r="BS192" s="138">
        <v>3.07304364965105</v>
      </c>
      <c r="BT192" s="139">
        <v>0</v>
      </c>
    </row>
    <row r="193" spans="1:72" hidden="1" outlineLevel="1" x14ac:dyDescent="0.2">
      <c r="B193" s="142">
        <v>0</v>
      </c>
      <c r="C193" s="138">
        <v>0</v>
      </c>
      <c r="D193" s="138">
        <v>0</v>
      </c>
      <c r="E193" s="138">
        <v>0</v>
      </c>
      <c r="F193" s="138">
        <v>1</v>
      </c>
      <c r="G193" s="138">
        <v>0</v>
      </c>
      <c r="H193" s="138">
        <v>0</v>
      </c>
      <c r="J193" s="142">
        <v>0</v>
      </c>
      <c r="K193" s="138">
        <v>0</v>
      </c>
      <c r="L193" s="138">
        <v>0</v>
      </c>
      <c r="M193" s="138">
        <v>0</v>
      </c>
      <c r="N193" s="138">
        <v>1</v>
      </c>
      <c r="O193" s="138">
        <v>0</v>
      </c>
      <c r="P193" s="138">
        <v>0</v>
      </c>
      <c r="R193" s="142">
        <v>0</v>
      </c>
      <c r="S193" s="138">
        <v>0</v>
      </c>
      <c r="T193" s="138">
        <v>0</v>
      </c>
      <c r="U193" s="138">
        <v>0</v>
      </c>
      <c r="V193" s="138">
        <v>1</v>
      </c>
      <c r="W193" s="138">
        <v>0</v>
      </c>
      <c r="X193" s="138">
        <v>0</v>
      </c>
      <c r="Z193" s="142">
        <v>0</v>
      </c>
      <c r="AA193" s="138">
        <v>0</v>
      </c>
      <c r="AB193" s="138">
        <v>0</v>
      </c>
      <c r="AC193" s="138">
        <v>0</v>
      </c>
      <c r="AD193" s="138">
        <v>1</v>
      </c>
      <c r="AE193" s="138">
        <v>0</v>
      </c>
      <c r="AF193" s="138">
        <v>0</v>
      </c>
      <c r="AH193" s="142">
        <v>0</v>
      </c>
      <c r="AI193" s="138">
        <v>0</v>
      </c>
      <c r="AJ193" s="138">
        <v>0</v>
      </c>
      <c r="AK193" s="138">
        <v>0</v>
      </c>
      <c r="AL193" s="138">
        <v>1</v>
      </c>
      <c r="AM193" s="138">
        <v>0</v>
      </c>
      <c r="AN193" s="138">
        <v>0</v>
      </c>
      <c r="AP193" s="142">
        <v>0</v>
      </c>
      <c r="AQ193" s="138">
        <v>0</v>
      </c>
      <c r="AR193" s="138">
        <v>0</v>
      </c>
      <c r="AS193" s="138">
        <v>0</v>
      </c>
      <c r="AT193" s="138">
        <v>1</v>
      </c>
      <c r="AU193" s="138">
        <v>0</v>
      </c>
      <c r="AV193" s="138">
        <v>0</v>
      </c>
      <c r="AW193" s="133"/>
      <c r="AX193" s="142">
        <v>0</v>
      </c>
      <c r="AY193" s="138">
        <v>0</v>
      </c>
      <c r="AZ193" s="138">
        <v>0</v>
      </c>
      <c r="BA193" s="138">
        <v>0</v>
      </c>
      <c r="BB193" s="138">
        <v>1</v>
      </c>
      <c r="BC193" s="138">
        <v>0</v>
      </c>
      <c r="BD193" s="139">
        <v>0</v>
      </c>
      <c r="BE193" s="133"/>
      <c r="BF193" s="142">
        <v>0</v>
      </c>
      <c r="BG193" s="138">
        <v>0</v>
      </c>
      <c r="BH193" s="138">
        <v>0</v>
      </c>
      <c r="BI193" s="138">
        <v>0</v>
      </c>
      <c r="BJ193" s="138">
        <v>1</v>
      </c>
      <c r="BK193" s="138">
        <v>0</v>
      </c>
      <c r="BL193" s="139">
        <v>0</v>
      </c>
      <c r="BM193" s="133"/>
      <c r="BN193" s="142">
        <v>0</v>
      </c>
      <c r="BO193" s="138">
        <v>0</v>
      </c>
      <c r="BP193" s="138">
        <v>0</v>
      </c>
      <c r="BQ193" s="138">
        <v>0</v>
      </c>
      <c r="BR193" s="138">
        <v>1</v>
      </c>
      <c r="BS193" s="138">
        <v>0</v>
      </c>
      <c r="BT193" s="139">
        <v>0</v>
      </c>
    </row>
    <row r="194" spans="1:72" ht="13.5" hidden="1" outlineLevel="1" thickBot="1" x14ac:dyDescent="0.25">
      <c r="B194" s="143">
        <f>SUM(B188:B193)</f>
        <v>96.606236432722284</v>
      </c>
      <c r="C194" s="133"/>
      <c r="D194" s="133"/>
      <c r="E194" s="133"/>
      <c r="F194" s="133"/>
      <c r="G194" s="133"/>
      <c r="H194" s="133"/>
      <c r="J194" s="143">
        <f>SUM(J188:J193)</f>
        <v>96.606236432722284</v>
      </c>
      <c r="K194" s="133"/>
      <c r="L194" s="133"/>
      <c r="M194" s="133"/>
      <c r="N194" s="133"/>
      <c r="O194" s="133"/>
      <c r="P194" s="133"/>
      <c r="R194" s="143">
        <f>SUM(R188:R193)</f>
        <v>96.606236432722312</v>
      </c>
      <c r="S194" s="133"/>
      <c r="T194" s="133"/>
      <c r="U194" s="133"/>
      <c r="V194" s="133"/>
      <c r="W194" s="133"/>
      <c r="X194" s="133"/>
      <c r="Z194" s="143">
        <f>SUM(Z188:Z193)</f>
        <v>96.606236432722312</v>
      </c>
      <c r="AA194" s="133"/>
      <c r="AB194" s="133"/>
      <c r="AC194" s="133"/>
      <c r="AD194" s="133"/>
      <c r="AE194" s="133"/>
      <c r="AF194" s="133"/>
      <c r="AH194" s="143">
        <f>SUM(AH188:AH193)</f>
        <v>96.606236432722298</v>
      </c>
      <c r="AI194" s="133"/>
      <c r="AJ194" s="133"/>
      <c r="AK194" s="133"/>
      <c r="AL194" s="133"/>
      <c r="AM194" s="133"/>
      <c r="AN194" s="133"/>
      <c r="AP194" s="143">
        <f>SUM(AP188:AP193)</f>
        <v>96.606236432722241</v>
      </c>
      <c r="AQ194" s="133"/>
      <c r="AR194" s="133"/>
      <c r="AS194" s="133"/>
      <c r="AT194" s="133"/>
      <c r="AU194" s="133"/>
      <c r="AV194" s="133"/>
      <c r="AW194" s="146"/>
      <c r="AX194" s="145">
        <f>SUM(AX188:AX193)</f>
        <v>96.606236432722241</v>
      </c>
      <c r="AY194" s="146"/>
      <c r="AZ194" s="146"/>
      <c r="BA194" s="146"/>
      <c r="BB194" s="146"/>
      <c r="BC194" s="146"/>
      <c r="BD194" s="147"/>
      <c r="BE194" s="146"/>
      <c r="BF194" s="145">
        <f>SUM(BF188:BF193)</f>
        <v>96.606236432722326</v>
      </c>
      <c r="BG194" s="146"/>
      <c r="BH194" s="146"/>
      <c r="BI194" s="146"/>
      <c r="BJ194" s="146"/>
      <c r="BK194" s="146"/>
      <c r="BL194" s="147"/>
      <c r="BM194" s="146"/>
      <c r="BN194" s="145">
        <f>SUM(BN188:BN193)</f>
        <v>96.606236432722255</v>
      </c>
      <c r="BO194" s="146"/>
      <c r="BP194" s="146"/>
      <c r="BQ194" s="146"/>
      <c r="BR194" s="146"/>
      <c r="BS194" s="146"/>
      <c r="BT194" s="147"/>
    </row>
    <row r="195" spans="1:72" hidden="1" outlineLevel="1" x14ac:dyDescent="0.2"/>
    <row r="196" spans="1:72" hidden="1" outlineLevel="1" x14ac:dyDescent="0.2"/>
    <row r="197" spans="1:72" ht="14.25" collapsed="1" x14ac:dyDescent="0.25">
      <c r="A197"/>
    </row>
    <row r="199" spans="1:72" ht="14.25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</row>
    <row r="200" spans="1:72" hidden="1" outlineLevel="1" x14ac:dyDescent="0.2">
      <c r="AO200" s="133" t="s">
        <v>69</v>
      </c>
      <c r="AP200" s="136">
        <v>24</v>
      </c>
      <c r="AQ200" s="136" t="s">
        <v>59</v>
      </c>
      <c r="AR200" s="136" t="str">
        <f>$F$202</f>
        <v>C1.3A0.1SH3</v>
      </c>
      <c r="AS200" s="136" t="str">
        <f>$I$202</f>
        <v>strätlingite</v>
      </c>
      <c r="AT200" s="136" t="str">
        <f>$G$202</f>
        <v>C0.67A0.05SH1.8</v>
      </c>
      <c r="AU200" s="136" t="str">
        <f>$S$202</f>
        <v>ettringite</v>
      </c>
      <c r="AV200" s="136" t="str">
        <f>$P$202</f>
        <v>monocarbonate</v>
      </c>
    </row>
    <row r="201" spans="1:72" hidden="1" outlineLevel="1" x14ac:dyDescent="0.2">
      <c r="AP201" s="133"/>
      <c r="AQ201" s="138">
        <v>0</v>
      </c>
      <c r="AR201" s="138">
        <f>$F$203</f>
        <v>0.36962820238752458</v>
      </c>
      <c r="AS201" s="138">
        <f>$I$203</f>
        <v>0.26810599086468712</v>
      </c>
      <c r="AT201" s="138">
        <f>$G$203</f>
        <v>0.26974658269181312</v>
      </c>
      <c r="AU201" s="138">
        <f>$S$203</f>
        <v>0.13403810838353239</v>
      </c>
      <c r="AV201" s="138">
        <f>$P$203</f>
        <v>0.29594963069652797</v>
      </c>
    </row>
    <row r="202" spans="1:72" hidden="1" outlineLevel="1" x14ac:dyDescent="0.2">
      <c r="A202" s="148" t="s">
        <v>73</v>
      </c>
      <c r="B202" s="149"/>
      <c r="C202" s="150" t="s">
        <v>74</v>
      </c>
      <c r="D202" s="150" t="s">
        <v>75</v>
      </c>
      <c r="E202" s="150" t="s">
        <v>76</v>
      </c>
      <c r="F202" s="150" t="s">
        <v>77</v>
      </c>
      <c r="G202" s="150" t="s">
        <v>78</v>
      </c>
      <c r="H202" s="150" t="s">
        <v>79</v>
      </c>
      <c r="I202" s="150" t="s">
        <v>80</v>
      </c>
      <c r="J202" s="150" t="s">
        <v>81</v>
      </c>
      <c r="K202" s="150" t="s">
        <v>3</v>
      </c>
      <c r="L202" s="150" t="s">
        <v>82</v>
      </c>
      <c r="M202" s="150" t="s">
        <v>83</v>
      </c>
      <c r="N202" s="150" t="s">
        <v>84</v>
      </c>
      <c r="O202" s="150" t="s">
        <v>85</v>
      </c>
      <c r="P202" s="150" t="s">
        <v>86</v>
      </c>
      <c r="Q202" s="150" t="s">
        <v>87</v>
      </c>
      <c r="R202" s="150" t="s">
        <v>88</v>
      </c>
      <c r="S202" s="150" t="s">
        <v>89</v>
      </c>
      <c r="T202" s="150" t="s">
        <v>90</v>
      </c>
      <c r="U202" s="151" t="s">
        <v>91</v>
      </c>
      <c r="AP202" s="133"/>
      <c r="AQ202" s="138">
        <v>0</v>
      </c>
      <c r="AR202" s="138">
        <f>$F$204</f>
        <v>0.30464558189920393</v>
      </c>
      <c r="AS202" s="138">
        <f>$I$204</f>
        <v>0.1436314877910809</v>
      </c>
      <c r="AT202" s="138">
        <f>$G$204</f>
        <v>0.43350951351747569</v>
      </c>
      <c r="AU202" s="138">
        <f>$S$204</f>
        <v>0</v>
      </c>
      <c r="AV202" s="138">
        <f>$P$204</f>
        <v>0</v>
      </c>
    </row>
    <row r="203" spans="1:72" hidden="1" outlineLevel="1" x14ac:dyDescent="0.2">
      <c r="A203" s="152" t="s">
        <v>92</v>
      </c>
      <c r="B203" s="153">
        <f>mCa+mO</f>
        <v>56.077400000000004</v>
      </c>
      <c r="C203" s="133">
        <f t="shared" ref="C203:U208" si="108">C219*$B203/C$225</f>
        <v>0.75685479321304083</v>
      </c>
      <c r="D203" s="133">
        <f>D219*$B203/D$225</f>
        <v>0.42615545963501011</v>
      </c>
      <c r="E203" s="133">
        <f t="shared" si="108"/>
        <v>0.41692537379616368</v>
      </c>
      <c r="F203" s="133">
        <f>F219*$B203/F$225</f>
        <v>0.36962820238752458</v>
      </c>
      <c r="G203" s="133">
        <f t="shared" si="108"/>
        <v>0.26974658269181312</v>
      </c>
      <c r="H203" s="133">
        <f t="shared" si="108"/>
        <v>0.28004746800509844</v>
      </c>
      <c r="I203" s="133">
        <f t="shared" si="108"/>
        <v>0.26810599086468712</v>
      </c>
      <c r="J203" s="133">
        <f t="shared" si="108"/>
        <v>8.8921476117117551E-2</v>
      </c>
      <c r="K203" s="133">
        <f t="shared" si="108"/>
        <v>0</v>
      </c>
      <c r="L203" s="133">
        <f t="shared" si="108"/>
        <v>0</v>
      </c>
      <c r="M203" s="133">
        <f t="shared" si="108"/>
        <v>0.44472323706657291</v>
      </c>
      <c r="N203" s="133">
        <f t="shared" si="108"/>
        <v>0.40021730494895524</v>
      </c>
      <c r="O203" s="133">
        <f t="shared" si="108"/>
        <v>0.34771498375494458</v>
      </c>
      <c r="P203" s="133">
        <f t="shared" si="108"/>
        <v>0.29594963069652797</v>
      </c>
      <c r="Q203" s="133">
        <f t="shared" si="108"/>
        <v>0.33182231315971239</v>
      </c>
      <c r="R203" s="133">
        <f t="shared" si="108"/>
        <v>0.27024452567298896</v>
      </c>
      <c r="S203" s="133">
        <f t="shared" si="108"/>
        <v>0.13403810838353239</v>
      </c>
      <c r="T203" s="133">
        <f t="shared" si="108"/>
        <v>0</v>
      </c>
      <c r="U203" s="154">
        <f t="shared" si="108"/>
        <v>0</v>
      </c>
      <c r="AP203" s="133"/>
      <c r="AQ203" s="138">
        <v>0</v>
      </c>
      <c r="AR203" s="138">
        <f>$F$205</f>
        <v>5.169745319076114E-2</v>
      </c>
      <c r="AS203" s="138">
        <f>$I$205</f>
        <v>0.24373838184384281</v>
      </c>
      <c r="AT203" s="138">
        <f>$G$205</f>
        <v>3.6782640409724413E-2</v>
      </c>
      <c r="AU203" s="138">
        <f>$S$205</f>
        <v>8.1237104617828668E-2</v>
      </c>
      <c r="AV203" s="138">
        <f>$P$205</f>
        <v>0.17936757986548366</v>
      </c>
    </row>
    <row r="204" spans="1:72" hidden="1" outlineLevel="1" x14ac:dyDescent="0.2">
      <c r="A204" s="152" t="s">
        <v>93</v>
      </c>
      <c r="B204" s="153">
        <f>mSi+2*mO</f>
        <v>60.084299999999999</v>
      </c>
      <c r="C204" s="133">
        <f t="shared" si="108"/>
        <v>0</v>
      </c>
      <c r="D204" s="133">
        <f t="shared" si="108"/>
        <v>0.26091746135925231</v>
      </c>
      <c r="E204" s="133">
        <f t="shared" si="108"/>
        <v>0.25526625940759262</v>
      </c>
      <c r="F204" s="133">
        <f t="shared" si="108"/>
        <v>0.30464558189920393</v>
      </c>
      <c r="G204" s="133">
        <f t="shared" si="108"/>
        <v>0.43350951351747569</v>
      </c>
      <c r="H204" s="133">
        <f t="shared" si="108"/>
        <v>0.45006405792133763</v>
      </c>
      <c r="I204" s="133">
        <f t="shared" si="108"/>
        <v>0.1436314877910809</v>
      </c>
      <c r="J204" s="133">
        <f t="shared" si="108"/>
        <v>0.57165110873154523</v>
      </c>
      <c r="K204" s="133">
        <f t="shared" si="108"/>
        <v>0.99999999999999989</v>
      </c>
      <c r="L204" s="133">
        <f t="shared" si="108"/>
        <v>0</v>
      </c>
      <c r="M204" s="133">
        <f t="shared" si="108"/>
        <v>0</v>
      </c>
      <c r="N204" s="133">
        <f t="shared" si="108"/>
        <v>0</v>
      </c>
      <c r="O204" s="133">
        <f t="shared" si="108"/>
        <v>0</v>
      </c>
      <c r="P204" s="133">
        <f t="shared" si="108"/>
        <v>0</v>
      </c>
      <c r="Q204" s="133">
        <f t="shared" si="108"/>
        <v>0</v>
      </c>
      <c r="R204" s="133">
        <f t="shared" si="108"/>
        <v>0</v>
      </c>
      <c r="S204" s="133">
        <f t="shared" si="108"/>
        <v>0</v>
      </c>
      <c r="T204" s="133">
        <f t="shared" si="108"/>
        <v>0</v>
      </c>
      <c r="U204" s="154">
        <f t="shared" si="108"/>
        <v>0</v>
      </c>
      <c r="AP204" s="133"/>
      <c r="AQ204" s="138">
        <v>0</v>
      </c>
      <c r="AR204" s="138">
        <f>$F$206</f>
        <v>0</v>
      </c>
      <c r="AS204" s="138">
        <f>$I$206</f>
        <v>0</v>
      </c>
      <c r="AT204" s="138">
        <f>$G$206</f>
        <v>0</v>
      </c>
      <c r="AU204" s="138">
        <f>$S$206</f>
        <v>0</v>
      </c>
      <c r="AV204" s="138">
        <f>$P$206</f>
        <v>0.17607075148187762</v>
      </c>
    </row>
    <row r="205" spans="1:72" hidden="1" outlineLevel="1" x14ac:dyDescent="0.2">
      <c r="A205" s="152" t="s">
        <v>94</v>
      </c>
      <c r="B205" s="153">
        <f>2*mAl+3*mO</f>
        <v>101.96127799999999</v>
      </c>
      <c r="C205" s="133">
        <f t="shared" si="108"/>
        <v>0</v>
      </c>
      <c r="D205" s="133">
        <f t="shared" si="108"/>
        <v>0</v>
      </c>
      <c r="E205" s="133">
        <f>E221*$B205/E$225</f>
        <v>2.1658964188213614E-2</v>
      </c>
      <c r="F205" s="133">
        <f t="shared" si="108"/>
        <v>5.169745319076114E-2</v>
      </c>
      <c r="G205" s="133">
        <f t="shared" si="108"/>
        <v>3.6782640409724413E-2</v>
      </c>
      <c r="H205" s="133">
        <f t="shared" si="108"/>
        <v>0</v>
      </c>
      <c r="I205" s="133">
        <f t="shared" si="108"/>
        <v>0.24373838184384281</v>
      </c>
      <c r="J205" s="133">
        <f t="shared" si="108"/>
        <v>0.16167916748186939</v>
      </c>
      <c r="K205" s="133">
        <f t="shared" si="108"/>
        <v>0</v>
      </c>
      <c r="L205" s="133">
        <f t="shared" si="108"/>
        <v>0.65356811475743049</v>
      </c>
      <c r="M205" s="133">
        <f t="shared" si="108"/>
        <v>0.26953549681692768</v>
      </c>
      <c r="N205" s="133">
        <f t="shared" si="108"/>
        <v>0.1819211834460549</v>
      </c>
      <c r="O205" s="133">
        <f t="shared" si="108"/>
        <v>0.18063535716911364</v>
      </c>
      <c r="P205" s="133">
        <f t="shared" si="108"/>
        <v>0.17936757986548366</v>
      </c>
      <c r="Q205" s="133">
        <f t="shared" si="108"/>
        <v>0.17237923257436782</v>
      </c>
      <c r="R205" s="133">
        <f t="shared" si="108"/>
        <v>0.16378836637767183</v>
      </c>
      <c r="S205" s="133">
        <f t="shared" si="108"/>
        <v>8.1237104617828668E-2</v>
      </c>
      <c r="T205" s="133">
        <f t="shared" si="108"/>
        <v>0</v>
      </c>
      <c r="U205" s="154">
        <f t="shared" si="108"/>
        <v>0</v>
      </c>
      <c r="AP205" s="133"/>
      <c r="AQ205" s="138">
        <v>0</v>
      </c>
      <c r="AR205" s="138">
        <f>$F$207</f>
        <v>0</v>
      </c>
      <c r="AS205" s="138">
        <f>$I$207</f>
        <v>0</v>
      </c>
      <c r="AT205" s="138">
        <f>$G$207</f>
        <v>0</v>
      </c>
      <c r="AU205" s="138">
        <f>$S$207</f>
        <v>0.32541028179458237</v>
      </c>
      <c r="AV205" s="138">
        <f>$P$207</f>
        <v>0</v>
      </c>
    </row>
    <row r="206" spans="1:72" hidden="1" outlineLevel="1" x14ac:dyDescent="0.2">
      <c r="A206" s="152" t="s">
        <v>95</v>
      </c>
      <c r="B206" s="153">
        <f>mCa+mC+3*mO</f>
        <v>100.0872</v>
      </c>
      <c r="C206" s="133">
        <f t="shared" si="108"/>
        <v>0</v>
      </c>
      <c r="D206" s="133">
        <f t="shared" si="108"/>
        <v>0</v>
      </c>
      <c r="E206" s="133">
        <f t="shared" si="108"/>
        <v>0</v>
      </c>
      <c r="F206" s="133">
        <f t="shared" si="108"/>
        <v>0</v>
      </c>
      <c r="G206" s="133">
        <f t="shared" si="108"/>
        <v>0</v>
      </c>
      <c r="H206" s="133">
        <f t="shared" si="108"/>
        <v>0</v>
      </c>
      <c r="I206" s="133">
        <f t="shared" si="108"/>
        <v>0</v>
      </c>
      <c r="J206" s="133">
        <f t="shared" si="108"/>
        <v>0</v>
      </c>
      <c r="K206" s="133">
        <f t="shared" si="108"/>
        <v>0</v>
      </c>
      <c r="L206" s="133">
        <f t="shared" si="108"/>
        <v>0</v>
      </c>
      <c r="M206" s="133">
        <f t="shared" si="108"/>
        <v>0</v>
      </c>
      <c r="N206" s="133">
        <f t="shared" si="108"/>
        <v>0</v>
      </c>
      <c r="O206" s="133">
        <f t="shared" si="108"/>
        <v>8.8657613334625476E-2</v>
      </c>
      <c r="P206" s="133">
        <f t="shared" si="108"/>
        <v>0.17607075148187762</v>
      </c>
      <c r="Q206" s="133">
        <f t="shared" si="108"/>
        <v>0</v>
      </c>
      <c r="R206" s="133">
        <f t="shared" si="108"/>
        <v>0</v>
      </c>
      <c r="S206" s="133">
        <f t="shared" si="108"/>
        <v>0</v>
      </c>
      <c r="T206" s="133">
        <f t="shared" si="108"/>
        <v>0</v>
      </c>
      <c r="U206" s="154">
        <f t="shared" si="108"/>
        <v>1</v>
      </c>
      <c r="AP206" s="133"/>
      <c r="AQ206" s="138">
        <v>1</v>
      </c>
      <c r="AR206" s="138">
        <f>$F$208</f>
        <v>0.27402876252251041</v>
      </c>
      <c r="AS206" s="138">
        <f>$I$208</f>
        <v>0.34452413950038913</v>
      </c>
      <c r="AT206" s="138">
        <f>$G$208</f>
        <v>0.25996126338098668</v>
      </c>
      <c r="AU206" s="138">
        <f>$S$208</f>
        <v>0.45931450520405653</v>
      </c>
      <c r="AV206" s="138">
        <f>$P$208</f>
        <v>0.34861203795611073</v>
      </c>
    </row>
    <row r="207" spans="1:72" hidden="1" outlineLevel="1" x14ac:dyDescent="0.2">
      <c r="A207" s="152" t="s">
        <v>96</v>
      </c>
      <c r="B207" s="153">
        <f>mCa+mS+4*mO</f>
        <v>136.14160000000001</v>
      </c>
      <c r="C207" s="133">
        <f t="shared" si="108"/>
        <v>0</v>
      </c>
      <c r="D207" s="133">
        <f t="shared" si="108"/>
        <v>0</v>
      </c>
      <c r="E207" s="133">
        <f t="shared" si="108"/>
        <v>0</v>
      </c>
      <c r="F207" s="133">
        <f t="shared" si="108"/>
        <v>0</v>
      </c>
      <c r="G207" s="133">
        <f t="shared" si="108"/>
        <v>0</v>
      </c>
      <c r="H207" s="133">
        <f t="shared" si="108"/>
        <v>0</v>
      </c>
      <c r="I207" s="133">
        <f t="shared" si="108"/>
        <v>0</v>
      </c>
      <c r="J207" s="133">
        <f t="shared" si="108"/>
        <v>0</v>
      </c>
      <c r="K207" s="133">
        <f t="shared" si="108"/>
        <v>0</v>
      </c>
      <c r="L207" s="133">
        <f t="shared" si="108"/>
        <v>0</v>
      </c>
      <c r="M207" s="133">
        <f t="shared" si="108"/>
        <v>0</v>
      </c>
      <c r="N207" s="133">
        <f t="shared" si="108"/>
        <v>0</v>
      </c>
      <c r="O207" s="133">
        <f t="shared" si="108"/>
        <v>0</v>
      </c>
      <c r="P207" s="133">
        <f t="shared" si="108"/>
        <v>0</v>
      </c>
      <c r="Q207" s="133">
        <f t="shared" si="108"/>
        <v>0.1150828284510447</v>
      </c>
      <c r="R207" s="133">
        <f t="shared" si="108"/>
        <v>0.21869488787736116</v>
      </c>
      <c r="S207" s="133">
        <f t="shared" si="108"/>
        <v>0.32541028179458237</v>
      </c>
      <c r="T207" s="133">
        <f t="shared" si="108"/>
        <v>0.79072946520505982</v>
      </c>
      <c r="U207" s="154">
        <f t="shared" si="108"/>
        <v>0</v>
      </c>
      <c r="AP207" s="133"/>
      <c r="AQ207" s="140">
        <f t="shared" ref="AQ207:AV207" si="109">SUM(AQ201:AQ206)</f>
        <v>1</v>
      </c>
      <c r="AR207" s="140">
        <f t="shared" si="109"/>
        <v>1</v>
      </c>
      <c r="AS207" s="140">
        <f t="shared" si="109"/>
        <v>1</v>
      </c>
      <c r="AT207" s="140">
        <f t="shared" si="109"/>
        <v>1</v>
      </c>
      <c r="AU207" s="140">
        <f t="shared" si="109"/>
        <v>1</v>
      </c>
      <c r="AV207" s="140">
        <f t="shared" si="109"/>
        <v>0.99999999999999989</v>
      </c>
    </row>
    <row r="208" spans="1:72" hidden="1" outlineLevel="1" x14ac:dyDescent="0.2">
      <c r="A208" s="152" t="s">
        <v>97</v>
      </c>
      <c r="B208" s="153">
        <f>2*mH+mO</f>
        <v>18.015280000000001</v>
      </c>
      <c r="C208" s="133">
        <f t="shared" si="108"/>
        <v>0.24314520678695925</v>
      </c>
      <c r="D208" s="133">
        <f t="shared" si="108"/>
        <v>0.31292707900573768</v>
      </c>
      <c r="E208" s="133">
        <f t="shared" si="108"/>
        <v>0.30614940260803009</v>
      </c>
      <c r="F208" s="133">
        <f t="shared" si="108"/>
        <v>0.27402876252251041</v>
      </c>
      <c r="G208" s="133">
        <f t="shared" si="108"/>
        <v>0.25996126338098668</v>
      </c>
      <c r="H208" s="133">
        <f t="shared" si="108"/>
        <v>0.26988847407356381</v>
      </c>
      <c r="I208" s="133">
        <f t="shared" si="108"/>
        <v>0.34452413950038913</v>
      </c>
      <c r="J208" s="133">
        <f t="shared" si="108"/>
        <v>0.17774824766946792</v>
      </c>
      <c r="K208" s="133">
        <f t="shared" si="108"/>
        <v>0</v>
      </c>
      <c r="L208" s="133">
        <f t="shared" si="108"/>
        <v>0.34643188524256951</v>
      </c>
      <c r="M208" s="133">
        <f t="shared" si="108"/>
        <v>0.2857412661164993</v>
      </c>
      <c r="N208" s="133">
        <f t="shared" si="108"/>
        <v>0.41786151160498969</v>
      </c>
      <c r="O208" s="133">
        <f t="shared" si="108"/>
        <v>0.3829920457413164</v>
      </c>
      <c r="P208" s="133">
        <f t="shared" si="108"/>
        <v>0.34861203795611073</v>
      </c>
      <c r="Q208" s="133">
        <f t="shared" si="108"/>
        <v>0.38071562581487517</v>
      </c>
      <c r="R208" s="133">
        <f t="shared" si="108"/>
        <v>0.34727222007197794</v>
      </c>
      <c r="S208" s="133">
        <f t="shared" si="108"/>
        <v>0.45931450520405653</v>
      </c>
      <c r="T208" s="133">
        <f t="shared" si="108"/>
        <v>0.20927053479494012</v>
      </c>
      <c r="U208" s="154">
        <f t="shared" si="108"/>
        <v>0</v>
      </c>
      <c r="AP208" s="142">
        <f t="array" ref="AP208:AP213">MMULT(AQ208:AV213,$V$19:$V$24)</f>
        <v>10.411656345010137</v>
      </c>
      <c r="AQ208" s="138">
        <f t="array" ref="AQ208:AV213">MINVERSE(AQ201:AV206)</f>
        <v>-0.39033462290132692</v>
      </c>
      <c r="AR208" s="138">
        <v>-0.28766564716359533</v>
      </c>
      <c r="AS208" s="138">
        <v>-0.81462444391443056</v>
      </c>
      <c r="AT208" s="138">
        <v>-0.49398003202791951</v>
      </c>
      <c r="AU208" s="138">
        <v>-1.0473457005098243</v>
      </c>
      <c r="AV208" s="138">
        <v>1</v>
      </c>
    </row>
    <row r="209" spans="1:48" hidden="1" outlineLevel="1" x14ac:dyDescent="0.2">
      <c r="A209" s="8"/>
      <c r="B209" s="16"/>
      <c r="C209" s="155">
        <f t="shared" ref="C209:U209" si="110">SUM(C203:C208)</f>
        <v>1</v>
      </c>
      <c r="D209" s="155">
        <f t="shared" si="110"/>
        <v>1</v>
      </c>
      <c r="E209" s="155">
        <f t="shared" si="110"/>
        <v>1</v>
      </c>
      <c r="F209" s="155">
        <f t="shared" si="110"/>
        <v>1</v>
      </c>
      <c r="G209" s="155">
        <f>SUM(G203:G208)</f>
        <v>1</v>
      </c>
      <c r="H209" s="155">
        <f t="shared" si="110"/>
        <v>1</v>
      </c>
      <c r="I209" s="155">
        <f t="shared" si="110"/>
        <v>1</v>
      </c>
      <c r="J209" s="155">
        <f t="shared" si="110"/>
        <v>1</v>
      </c>
      <c r="K209" s="155">
        <f t="shared" si="110"/>
        <v>0.99999999999999989</v>
      </c>
      <c r="L209" s="155">
        <f t="shared" si="110"/>
        <v>1</v>
      </c>
      <c r="M209" s="155">
        <f t="shared" si="110"/>
        <v>0.99999999999999989</v>
      </c>
      <c r="N209" s="155">
        <f t="shared" si="110"/>
        <v>0.99999999999999978</v>
      </c>
      <c r="O209" s="155">
        <f t="shared" si="110"/>
        <v>1</v>
      </c>
      <c r="P209" s="155">
        <f t="shared" si="110"/>
        <v>0.99999999999999989</v>
      </c>
      <c r="Q209" s="155">
        <f t="shared" si="110"/>
        <v>1</v>
      </c>
      <c r="R209" s="155">
        <f t="shared" si="110"/>
        <v>0.99999999999999978</v>
      </c>
      <c r="S209" s="155">
        <f t="shared" si="110"/>
        <v>1</v>
      </c>
      <c r="T209" s="155">
        <f t="shared" si="110"/>
        <v>1</v>
      </c>
      <c r="U209" s="156">
        <f t="shared" si="110"/>
        <v>1</v>
      </c>
      <c r="AP209" s="142">
        <v>171.16348941998754</v>
      </c>
      <c r="AQ209" s="138">
        <v>6.2455750154351461</v>
      </c>
      <c r="AR209" s="138">
        <v>-3.4771938279979437</v>
      </c>
      <c r="AS209" s="138">
        <v>-4.8209130884133193</v>
      </c>
      <c r="AT209" s="138">
        <v>-5.5867320245759666</v>
      </c>
      <c r="AU209" s="138">
        <v>-1.3690656529430627</v>
      </c>
      <c r="AV209" s="138">
        <v>0</v>
      </c>
    </row>
    <row r="210" spans="1:48" hidden="1" outlineLevel="1" x14ac:dyDescent="0.2">
      <c r="A210" s="157" t="s">
        <v>98</v>
      </c>
      <c r="B210" s="16"/>
      <c r="C210" s="155" t="s">
        <v>74</v>
      </c>
      <c r="D210" s="155" t="s">
        <v>99</v>
      </c>
      <c r="E210" s="155" t="s">
        <v>99</v>
      </c>
      <c r="F210" s="37" t="s">
        <v>100</v>
      </c>
      <c r="G210" s="37" t="s">
        <v>101</v>
      </c>
      <c r="H210" s="37" t="s">
        <v>101</v>
      </c>
      <c r="I210" s="37" t="s">
        <v>102</v>
      </c>
      <c r="J210" s="37" t="s">
        <v>103</v>
      </c>
      <c r="K210" s="37" t="s">
        <v>3</v>
      </c>
      <c r="L210" s="37" t="s">
        <v>104</v>
      </c>
      <c r="M210" s="158" t="s">
        <v>105</v>
      </c>
      <c r="N210" s="16" t="s">
        <v>48</v>
      </c>
      <c r="O210" s="16" t="s">
        <v>106</v>
      </c>
      <c r="P210" s="158" t="s">
        <v>107</v>
      </c>
      <c r="Q210" s="158" t="s">
        <v>108</v>
      </c>
      <c r="R210" s="158" t="s">
        <v>108</v>
      </c>
      <c r="S210" s="158" t="s">
        <v>89</v>
      </c>
      <c r="T210" s="16" t="s">
        <v>90</v>
      </c>
      <c r="U210" s="159" t="s">
        <v>91</v>
      </c>
      <c r="AP210" s="142">
        <v>-15.288130415164927</v>
      </c>
      <c r="AQ210" s="138">
        <v>-0.69721071543423885</v>
      </c>
      <c r="AR210" s="138">
        <v>2.1733885946933231E-2</v>
      </c>
      <c r="AS210" s="138">
        <v>4.8568661627013228</v>
      </c>
      <c r="AT210" s="138">
        <v>-3.775897302581217</v>
      </c>
      <c r="AU210" s="138">
        <v>-0.92530862108007828</v>
      </c>
      <c r="AV210" s="138">
        <v>0</v>
      </c>
    </row>
    <row r="211" spans="1:48" hidden="1" outlineLevel="1" x14ac:dyDescent="0.2">
      <c r="A211" s="8" t="s">
        <v>92</v>
      </c>
      <c r="B211" s="38">
        <f>mCa+mO</f>
        <v>56.077400000000004</v>
      </c>
      <c r="C211" s="155">
        <v>0.75680000000000003</v>
      </c>
      <c r="D211" s="158"/>
      <c r="E211" s="158">
        <v>0.40820000000000001</v>
      </c>
      <c r="F211" s="16">
        <v>0.34450831132515147</v>
      </c>
      <c r="G211" s="16">
        <v>0.33460000000000001</v>
      </c>
      <c r="H211" s="16"/>
      <c r="I211" s="16">
        <v>0.26790000000000003</v>
      </c>
      <c r="J211" s="16">
        <v>7.4999999999999997E-2</v>
      </c>
      <c r="K211" s="158"/>
      <c r="L211" s="16">
        <v>0</v>
      </c>
      <c r="M211" s="158">
        <v>0.44440000000000002</v>
      </c>
      <c r="N211" s="16">
        <v>0.4</v>
      </c>
      <c r="O211" s="16">
        <v>0.34210000000000002</v>
      </c>
      <c r="P211" s="158">
        <v>0.28670000000000001</v>
      </c>
      <c r="Q211" s="158"/>
      <c r="R211" s="158">
        <v>0.27</v>
      </c>
      <c r="S211" s="158">
        <v>0.13400000000000001</v>
      </c>
      <c r="T211" s="16">
        <v>0</v>
      </c>
      <c r="U211" s="159">
        <v>0</v>
      </c>
      <c r="AP211" s="142">
        <v>-82.243517280046433</v>
      </c>
      <c r="AQ211" s="138">
        <v>-4.1580296770995817</v>
      </c>
      <c r="AR211" s="138">
        <v>4.7431255892146069</v>
      </c>
      <c r="AS211" s="138">
        <v>1.7786713696264278</v>
      </c>
      <c r="AT211" s="138">
        <v>5.1770743337273029</v>
      </c>
      <c r="AU211" s="138">
        <v>1.2686763248819155</v>
      </c>
      <c r="AV211" s="138">
        <v>0</v>
      </c>
    </row>
    <row r="212" spans="1:48" hidden="1" outlineLevel="1" x14ac:dyDescent="0.2">
      <c r="A212" s="8" t="s">
        <v>93</v>
      </c>
      <c r="B212" s="38">
        <f>mSi+2*mO</f>
        <v>60.084299999999999</v>
      </c>
      <c r="C212" s="155">
        <v>0</v>
      </c>
      <c r="D212" s="158"/>
      <c r="E212" s="158">
        <v>0.24990000000000001</v>
      </c>
      <c r="F212" s="16">
        <v>0.33556004349852414</v>
      </c>
      <c r="G212" s="16">
        <v>0.41139999999999999</v>
      </c>
      <c r="H212" s="16"/>
      <c r="I212" s="16">
        <v>0.14349999999999999</v>
      </c>
      <c r="J212" s="16">
        <v>0.61799999999999999</v>
      </c>
      <c r="K212" s="158">
        <v>1</v>
      </c>
      <c r="L212" s="16">
        <v>0</v>
      </c>
      <c r="M212" s="158">
        <v>0</v>
      </c>
      <c r="N212" s="16">
        <v>0</v>
      </c>
      <c r="O212" s="16">
        <v>0</v>
      </c>
      <c r="P212" s="158">
        <v>0</v>
      </c>
      <c r="Q212" s="158"/>
      <c r="R212" s="158">
        <v>0</v>
      </c>
      <c r="S212" s="158">
        <v>0</v>
      </c>
      <c r="T212" s="16">
        <v>0</v>
      </c>
      <c r="U212" s="159">
        <v>0</v>
      </c>
      <c r="AP212" s="142">
        <v>12.562738362935917</v>
      </c>
      <c r="AQ212" s="138">
        <v>0</v>
      </c>
      <c r="AR212" s="138">
        <v>0</v>
      </c>
      <c r="AS212" s="138">
        <v>0</v>
      </c>
      <c r="AT212" s="138">
        <v>0</v>
      </c>
      <c r="AU212" s="138">
        <v>3.07304364965105</v>
      </c>
      <c r="AV212" s="138">
        <v>0</v>
      </c>
    </row>
    <row r="213" spans="1:48" hidden="1" outlineLevel="1" x14ac:dyDescent="0.2">
      <c r="A213" s="8" t="s">
        <v>94</v>
      </c>
      <c r="B213" s="38">
        <f>2*mAl+3*mO</f>
        <v>101.96127799999999</v>
      </c>
      <c r="C213" s="155">
        <v>0</v>
      </c>
      <c r="D213" s="158"/>
      <c r="E213" s="158">
        <v>1.7000000000000001E-2</v>
      </c>
      <c r="F213" s="16">
        <v>3.9931645176324373E-2</v>
      </c>
      <c r="G213" s="16">
        <v>2.8000000000000001E-2</v>
      </c>
      <c r="H213" s="16"/>
      <c r="I213" s="16">
        <v>0.24399999999999999</v>
      </c>
      <c r="J213" s="16">
        <v>0.13700000000000001</v>
      </c>
      <c r="K213" s="158"/>
      <c r="L213" s="16">
        <v>0.65400000000000003</v>
      </c>
      <c r="M213" s="158">
        <v>0.26979999999999998</v>
      </c>
      <c r="N213" s="16">
        <v>0.18210000000000001</v>
      </c>
      <c r="O213" s="16">
        <v>0.17799999999999999</v>
      </c>
      <c r="P213" s="158">
        <v>0.1741</v>
      </c>
      <c r="Q213" s="158"/>
      <c r="R213" s="158">
        <v>0.16400000000000001</v>
      </c>
      <c r="S213" s="158">
        <v>8.1299999999999997E-2</v>
      </c>
      <c r="T213" s="16">
        <v>0</v>
      </c>
      <c r="U213" s="159">
        <v>0</v>
      </c>
      <c r="AP213" s="142">
        <v>0</v>
      </c>
      <c r="AQ213" s="138">
        <v>0</v>
      </c>
      <c r="AR213" s="138">
        <v>0</v>
      </c>
      <c r="AS213" s="138">
        <v>0</v>
      </c>
      <c r="AT213" s="138">
        <v>5.6795350254578016</v>
      </c>
      <c r="AU213" s="138">
        <v>0</v>
      </c>
      <c r="AV213" s="138">
        <v>0</v>
      </c>
    </row>
    <row r="214" spans="1:48" hidden="1" outlineLevel="1" x14ac:dyDescent="0.2">
      <c r="A214" s="8" t="s">
        <v>95</v>
      </c>
      <c r="B214" s="38">
        <f>mCa+mC+3*mO</f>
        <v>100.0872</v>
      </c>
      <c r="C214" s="155">
        <v>0</v>
      </c>
      <c r="D214" s="158"/>
      <c r="E214" s="158">
        <v>0</v>
      </c>
      <c r="F214" s="16">
        <v>0</v>
      </c>
      <c r="G214" s="16">
        <v>0</v>
      </c>
      <c r="H214" s="16"/>
      <c r="I214" s="16">
        <v>0</v>
      </c>
      <c r="J214" s="16">
        <v>0</v>
      </c>
      <c r="K214" s="158"/>
      <c r="L214" s="16">
        <v>0</v>
      </c>
      <c r="M214" s="158">
        <v>0</v>
      </c>
      <c r="N214" s="16">
        <v>0</v>
      </c>
      <c r="O214" s="16">
        <v>8.72E-2</v>
      </c>
      <c r="P214" s="158">
        <v>0.1706</v>
      </c>
      <c r="Q214" s="158"/>
      <c r="R214" s="158">
        <v>0</v>
      </c>
      <c r="S214" s="158">
        <v>0</v>
      </c>
      <c r="T214" s="16">
        <v>0</v>
      </c>
      <c r="U214" s="159">
        <v>1</v>
      </c>
      <c r="AP214" s="143">
        <f>SUM(AP208:AP213)</f>
        <v>96.606236432722241</v>
      </c>
      <c r="AQ214" s="133"/>
      <c r="AR214" s="133"/>
      <c r="AS214" s="133"/>
      <c r="AT214" s="133"/>
      <c r="AU214" s="133"/>
      <c r="AV214" s="133"/>
    </row>
    <row r="215" spans="1:48" hidden="1" outlineLevel="1" x14ac:dyDescent="0.2">
      <c r="A215" s="8" t="s">
        <v>96</v>
      </c>
      <c r="B215" s="38">
        <f>mCa+mS+4*mO</f>
        <v>136.14160000000001</v>
      </c>
      <c r="C215" s="155">
        <v>0</v>
      </c>
      <c r="D215" s="158"/>
      <c r="E215" s="158">
        <v>0</v>
      </c>
      <c r="F215" s="16">
        <v>0</v>
      </c>
      <c r="G215" s="16">
        <v>0</v>
      </c>
      <c r="H215" s="16"/>
      <c r="I215" s="16">
        <v>0</v>
      </c>
      <c r="J215" s="16">
        <v>0</v>
      </c>
      <c r="K215" s="158"/>
      <c r="L215" s="16">
        <v>0</v>
      </c>
      <c r="M215" s="158">
        <v>0</v>
      </c>
      <c r="N215" s="16">
        <v>0</v>
      </c>
      <c r="O215" s="16">
        <v>0</v>
      </c>
      <c r="P215" s="158">
        <v>0</v>
      </c>
      <c r="Q215" s="158"/>
      <c r="R215" s="158">
        <v>0.21859999999999999</v>
      </c>
      <c r="S215" s="158">
        <v>0.32540000000000002</v>
      </c>
      <c r="T215" s="25">
        <v>0.79069767441860461</v>
      </c>
      <c r="U215" s="159">
        <v>0</v>
      </c>
    </row>
    <row r="216" spans="1:48" hidden="1" outlineLevel="1" x14ac:dyDescent="0.2">
      <c r="A216" s="8" t="s">
        <v>97</v>
      </c>
      <c r="B216" s="38">
        <f>2*mH+mO</f>
        <v>18.015280000000001</v>
      </c>
      <c r="C216" s="155">
        <v>0.2432</v>
      </c>
      <c r="D216" s="158"/>
      <c r="E216" s="158">
        <v>0.32490000000000002</v>
      </c>
      <c r="F216" s="37">
        <v>0.28000000000000003</v>
      </c>
      <c r="G216" s="37">
        <v>0.22600000000000001</v>
      </c>
      <c r="H216" s="37"/>
      <c r="I216" s="37">
        <v>0.34449999999999997</v>
      </c>
      <c r="J216" s="37">
        <v>0.16900000000000001</v>
      </c>
      <c r="K216" s="158"/>
      <c r="L216" s="16">
        <v>0.34599999999999997</v>
      </c>
      <c r="M216" s="158">
        <v>0.28570000000000001</v>
      </c>
      <c r="N216" s="16">
        <v>0.41789999999999999</v>
      </c>
      <c r="O216" s="16">
        <v>0.39269999999999999</v>
      </c>
      <c r="P216" s="158">
        <v>0.36859999999999998</v>
      </c>
      <c r="Q216" s="158"/>
      <c r="R216" s="158">
        <v>0.34720000000000001</v>
      </c>
      <c r="S216" s="158">
        <v>0.45929999999999999</v>
      </c>
      <c r="T216" s="25">
        <v>0.20930232558139536</v>
      </c>
      <c r="U216" s="159">
        <v>0</v>
      </c>
    </row>
    <row r="217" spans="1:48" hidden="1" outlineLevel="1" x14ac:dyDescent="0.2">
      <c r="A217" s="8"/>
      <c r="B217" s="16"/>
      <c r="C217" s="155">
        <f>SUM(C211:C216)</f>
        <v>1</v>
      </c>
      <c r="D217" s="155"/>
      <c r="E217" s="155">
        <f t="shared" ref="E217:U217" si="111">SUM(E211:E216)</f>
        <v>1</v>
      </c>
      <c r="F217" s="155">
        <f t="shared" si="111"/>
        <v>1</v>
      </c>
      <c r="G217" s="155">
        <f t="shared" si="111"/>
        <v>1</v>
      </c>
      <c r="H217" s="155">
        <f t="shared" si="111"/>
        <v>0</v>
      </c>
      <c r="I217" s="155">
        <f t="shared" si="111"/>
        <v>0.99990000000000001</v>
      </c>
      <c r="J217" s="155">
        <f t="shared" si="111"/>
        <v>0.999</v>
      </c>
      <c r="K217" s="155">
        <f t="shared" si="111"/>
        <v>1</v>
      </c>
      <c r="L217" s="155">
        <f t="shared" si="111"/>
        <v>1</v>
      </c>
      <c r="M217" s="155">
        <f t="shared" si="111"/>
        <v>0.99990000000000001</v>
      </c>
      <c r="N217" s="155">
        <f t="shared" si="111"/>
        <v>1</v>
      </c>
      <c r="O217" s="155">
        <f t="shared" si="111"/>
        <v>1</v>
      </c>
      <c r="P217" s="155">
        <f t="shared" si="111"/>
        <v>1</v>
      </c>
      <c r="Q217" s="155">
        <f t="shared" si="111"/>
        <v>0</v>
      </c>
      <c r="R217" s="155">
        <f t="shared" si="111"/>
        <v>0.99980000000000002</v>
      </c>
      <c r="S217" s="155">
        <f t="shared" si="111"/>
        <v>1</v>
      </c>
      <c r="T217" s="155">
        <f t="shared" si="111"/>
        <v>1</v>
      </c>
      <c r="U217" s="156">
        <f t="shared" si="111"/>
        <v>1</v>
      </c>
    </row>
    <row r="218" spans="1:48" hidden="1" outlineLevel="1" x14ac:dyDescent="0.2">
      <c r="A218" s="8"/>
      <c r="B218" s="16"/>
      <c r="C218" s="160" t="str">
        <f t="shared" ref="C218:U218" si="112">C202</f>
        <v>portlandite</v>
      </c>
      <c r="D218" s="160" t="str">
        <f t="shared" si="112"/>
        <v>C1.75SH4.4</v>
      </c>
      <c r="E218" s="160" t="str">
        <f t="shared" si="112"/>
        <v>C1.75A0.05SH4.3</v>
      </c>
      <c r="F218" s="160" t="str">
        <f t="shared" si="112"/>
        <v>C1.3A0.1SH3</v>
      </c>
      <c r="G218" s="160" t="str">
        <f t="shared" si="112"/>
        <v>C0.67A0.05SH1.8</v>
      </c>
      <c r="H218" s="160" t="str">
        <f t="shared" si="112"/>
        <v>C0.67SH1.8</v>
      </c>
      <c r="I218" s="160" t="str">
        <f t="shared" si="112"/>
        <v>strätlingite</v>
      </c>
      <c r="J218" s="160" t="str">
        <f t="shared" si="112"/>
        <v>Ca-stilbite</v>
      </c>
      <c r="K218" s="160" t="str">
        <f t="shared" si="112"/>
        <v>SiO2</v>
      </c>
      <c r="L218" s="160" t="str">
        <f t="shared" si="112"/>
        <v>AH3</v>
      </c>
      <c r="M218" s="160" t="str">
        <f t="shared" si="112"/>
        <v>Hydrogarnet</v>
      </c>
      <c r="N218" s="160" t="str">
        <f t="shared" si="112"/>
        <v>OH-AFm</v>
      </c>
      <c r="O218" s="160" t="str">
        <f t="shared" si="112"/>
        <v>Hemicarbonate</v>
      </c>
      <c r="P218" s="160" t="str">
        <f t="shared" si="112"/>
        <v>monocarbonate</v>
      </c>
      <c r="Q218" s="160" t="str">
        <f t="shared" si="112"/>
        <v>Hemisulphate</v>
      </c>
      <c r="R218" s="160" t="str">
        <f t="shared" si="112"/>
        <v>monosulphate</v>
      </c>
      <c r="S218" s="160" t="str">
        <f t="shared" si="112"/>
        <v>ettringite</v>
      </c>
      <c r="T218" s="160" t="str">
        <f t="shared" si="112"/>
        <v>gypsum</v>
      </c>
      <c r="U218" s="161" t="str">
        <f t="shared" si="112"/>
        <v>calcite</v>
      </c>
    </row>
    <row r="219" spans="1:48" hidden="1" outlineLevel="1" x14ac:dyDescent="0.2">
      <c r="A219" s="8" t="s">
        <v>92</v>
      </c>
      <c r="B219" s="38">
        <f>mCa+mO</f>
        <v>56.077400000000004</v>
      </c>
      <c r="C219" s="160">
        <v>1</v>
      </c>
      <c r="D219" s="160">
        <v>1.75</v>
      </c>
      <c r="E219" s="160">
        <v>1.75</v>
      </c>
      <c r="F219" s="160">
        <v>1.3</v>
      </c>
      <c r="G219" s="160">
        <v>0.66669999999999996</v>
      </c>
      <c r="H219" s="160">
        <v>0.66669999999999996</v>
      </c>
      <c r="I219" s="160">
        <v>2</v>
      </c>
      <c r="J219" s="162">
        <f>4.5/27</f>
        <v>0.16666666666666666</v>
      </c>
      <c r="K219" s="160">
        <f t="shared" ref="K219:K224" si="113">K211/$B211*K$225</f>
        <v>0</v>
      </c>
      <c r="L219" s="160">
        <v>0</v>
      </c>
      <c r="M219" s="160">
        <v>3</v>
      </c>
      <c r="N219" s="160">
        <v>4</v>
      </c>
      <c r="O219" s="160">
        <v>3.5</v>
      </c>
      <c r="P219" s="160">
        <v>3</v>
      </c>
      <c r="Q219" s="160">
        <v>3.5</v>
      </c>
      <c r="R219" s="160">
        <v>3</v>
      </c>
      <c r="S219" s="160">
        <v>3</v>
      </c>
      <c r="T219" s="160">
        <v>0</v>
      </c>
      <c r="U219" s="161">
        <v>0</v>
      </c>
    </row>
    <row r="220" spans="1:48" hidden="1" outlineLevel="1" x14ac:dyDescent="0.2">
      <c r="A220" s="8" t="s">
        <v>93</v>
      </c>
      <c r="B220" s="38">
        <f>mSi+2*mO</f>
        <v>60.084299999999999</v>
      </c>
      <c r="C220" s="160">
        <v>0</v>
      </c>
      <c r="D220" s="160">
        <v>1</v>
      </c>
      <c r="E220" s="160">
        <v>1</v>
      </c>
      <c r="F220" s="160">
        <v>1</v>
      </c>
      <c r="G220" s="160">
        <v>1</v>
      </c>
      <c r="H220" s="160">
        <v>1</v>
      </c>
      <c r="I220" s="160">
        <v>1</v>
      </c>
      <c r="J220" s="160">
        <v>1</v>
      </c>
      <c r="K220" s="160">
        <f t="shared" si="113"/>
        <v>1</v>
      </c>
      <c r="L220" s="160">
        <v>0</v>
      </c>
      <c r="M220" s="160">
        <v>0</v>
      </c>
      <c r="N220" s="160">
        <v>0</v>
      </c>
      <c r="O220" s="160">
        <v>0</v>
      </c>
      <c r="P220" s="160">
        <v>0</v>
      </c>
      <c r="Q220" s="160">
        <v>0</v>
      </c>
      <c r="R220" s="160">
        <v>0</v>
      </c>
      <c r="S220" s="160">
        <v>0</v>
      </c>
      <c r="T220" s="160">
        <v>0</v>
      </c>
      <c r="U220" s="161">
        <v>0</v>
      </c>
    </row>
    <row r="221" spans="1:48" hidden="1" outlineLevel="1" x14ac:dyDescent="0.2">
      <c r="A221" s="8" t="s">
        <v>94</v>
      </c>
      <c r="B221" s="38">
        <f>2*mAl+3*mO</f>
        <v>101.96127799999999</v>
      </c>
      <c r="C221" s="160">
        <v>0</v>
      </c>
      <c r="D221" s="160">
        <v>0</v>
      </c>
      <c r="E221" s="160">
        <v>0.05</v>
      </c>
      <c r="F221" s="160">
        <v>0.1</v>
      </c>
      <c r="G221" s="160">
        <v>0.05</v>
      </c>
      <c r="H221" s="160">
        <v>0</v>
      </c>
      <c r="I221" s="160">
        <v>1</v>
      </c>
      <c r="J221" s="160">
        <f>1/6</f>
        <v>0.16666666666666666</v>
      </c>
      <c r="K221" s="160">
        <f t="shared" si="113"/>
        <v>0</v>
      </c>
      <c r="L221" s="160">
        <v>1</v>
      </c>
      <c r="M221" s="160">
        <v>1</v>
      </c>
      <c r="N221" s="160">
        <v>1</v>
      </c>
      <c r="O221" s="160">
        <v>1</v>
      </c>
      <c r="P221" s="160">
        <v>1</v>
      </c>
      <c r="Q221" s="160">
        <v>1</v>
      </c>
      <c r="R221" s="160">
        <v>1</v>
      </c>
      <c r="S221" s="160">
        <v>1</v>
      </c>
      <c r="T221" s="160">
        <v>0</v>
      </c>
      <c r="U221" s="161">
        <v>0</v>
      </c>
    </row>
    <row r="222" spans="1:48" hidden="1" outlineLevel="1" x14ac:dyDescent="0.2">
      <c r="A222" s="8" t="s">
        <v>95</v>
      </c>
      <c r="B222" s="38">
        <f>mCa+mC+3*mO</f>
        <v>100.0872</v>
      </c>
      <c r="C222" s="160">
        <v>0</v>
      </c>
      <c r="D222" s="160">
        <v>0</v>
      </c>
      <c r="E222" s="160">
        <v>0</v>
      </c>
      <c r="F222" s="160">
        <v>0</v>
      </c>
      <c r="G222" s="160">
        <v>0</v>
      </c>
      <c r="H222" s="160">
        <v>0</v>
      </c>
      <c r="I222" s="160">
        <v>0</v>
      </c>
      <c r="J222" s="160">
        <v>0</v>
      </c>
      <c r="K222" s="160">
        <f t="shared" si="113"/>
        <v>0</v>
      </c>
      <c r="L222" s="160">
        <v>0</v>
      </c>
      <c r="M222" s="160">
        <v>0</v>
      </c>
      <c r="N222" s="160">
        <v>0</v>
      </c>
      <c r="O222" s="160">
        <v>0.5</v>
      </c>
      <c r="P222" s="160">
        <v>1</v>
      </c>
      <c r="Q222" s="160">
        <v>0</v>
      </c>
      <c r="R222" s="160">
        <v>0</v>
      </c>
      <c r="S222" s="160">
        <v>0</v>
      </c>
      <c r="T222" s="160">
        <v>0</v>
      </c>
      <c r="U222" s="161">
        <v>1</v>
      </c>
    </row>
    <row r="223" spans="1:48" hidden="1" outlineLevel="1" x14ac:dyDescent="0.2">
      <c r="A223" s="8" t="s">
        <v>96</v>
      </c>
      <c r="B223" s="38">
        <f>mCa+mS+4*mO</f>
        <v>136.14160000000001</v>
      </c>
      <c r="C223" s="160">
        <v>0</v>
      </c>
      <c r="D223" s="160">
        <v>0</v>
      </c>
      <c r="E223" s="160">
        <v>0</v>
      </c>
      <c r="F223" s="160">
        <v>0</v>
      </c>
      <c r="G223" s="160">
        <v>0</v>
      </c>
      <c r="H223" s="160">
        <v>0</v>
      </c>
      <c r="I223" s="160">
        <v>0</v>
      </c>
      <c r="J223" s="160">
        <v>0</v>
      </c>
      <c r="K223" s="160">
        <f t="shared" si="113"/>
        <v>0</v>
      </c>
      <c r="L223" s="160">
        <v>0</v>
      </c>
      <c r="M223" s="160">
        <v>0</v>
      </c>
      <c r="N223" s="160">
        <v>0</v>
      </c>
      <c r="O223" s="160">
        <v>0</v>
      </c>
      <c r="P223" s="160">
        <v>0</v>
      </c>
      <c r="Q223" s="160">
        <v>0.5</v>
      </c>
      <c r="R223" s="160">
        <v>1</v>
      </c>
      <c r="S223" s="160">
        <v>3</v>
      </c>
      <c r="T223" s="160">
        <v>1</v>
      </c>
      <c r="U223" s="161">
        <v>0</v>
      </c>
    </row>
    <row r="224" spans="1:48" hidden="1" outlineLevel="1" x14ac:dyDescent="0.2">
      <c r="A224" s="8" t="s">
        <v>97</v>
      </c>
      <c r="B224" s="38">
        <f>2*mH+mO</f>
        <v>18.015280000000001</v>
      </c>
      <c r="C224" s="160">
        <v>1</v>
      </c>
      <c r="D224" s="160">
        <v>4</v>
      </c>
      <c r="E224" s="160">
        <v>4</v>
      </c>
      <c r="F224" s="160">
        <v>3</v>
      </c>
      <c r="G224" s="160">
        <v>2</v>
      </c>
      <c r="H224" s="160">
        <v>2</v>
      </c>
      <c r="I224" s="160">
        <v>8</v>
      </c>
      <c r="J224" s="160">
        <f>28/27</f>
        <v>1.037037037037037</v>
      </c>
      <c r="K224" s="160">
        <f t="shared" si="113"/>
        <v>0</v>
      </c>
      <c r="L224" s="160">
        <v>3</v>
      </c>
      <c r="M224" s="160">
        <v>6</v>
      </c>
      <c r="N224" s="160">
        <v>13</v>
      </c>
      <c r="O224" s="160">
        <v>12</v>
      </c>
      <c r="P224" s="160">
        <v>11</v>
      </c>
      <c r="Q224" s="160">
        <v>12.5</v>
      </c>
      <c r="R224" s="160">
        <v>12</v>
      </c>
      <c r="S224" s="160">
        <v>32</v>
      </c>
      <c r="T224" s="160">
        <v>2</v>
      </c>
      <c r="U224" s="161">
        <v>0</v>
      </c>
    </row>
    <row r="225" spans="1:21" hidden="1" outlineLevel="1" x14ac:dyDescent="0.2">
      <c r="A225" s="8"/>
      <c r="B225" s="16"/>
      <c r="C225" s="163">
        <f t="shared" ref="C225:J225" si="114">C219*$B219+C220*$B220+C221*$B221+C222*$B222+C223*$B223+C224*$B224</f>
        <v>74.092680000000001</v>
      </c>
      <c r="D225" s="163">
        <f t="shared" si="114"/>
        <v>230.28086999999999</v>
      </c>
      <c r="E225" s="163">
        <f t="shared" si="114"/>
        <v>235.37893389999999</v>
      </c>
      <c r="F225" s="163">
        <f t="shared" si="114"/>
        <v>197.22688779999999</v>
      </c>
      <c r="G225" s="163">
        <f t="shared" si="114"/>
        <v>138.59972648000002</v>
      </c>
      <c r="H225" s="163">
        <f t="shared" si="114"/>
        <v>133.50166258000002</v>
      </c>
      <c r="I225" s="163">
        <f t="shared" si="114"/>
        <v>418.32261800000003</v>
      </c>
      <c r="J225" s="163">
        <f t="shared" si="114"/>
        <v>105.10659225925924</v>
      </c>
      <c r="K225" s="163">
        <f>1/(K212/$B212)</f>
        <v>60.084300000000006</v>
      </c>
      <c r="L225" s="163">
        <f t="shared" ref="L225:U225" si="115">L219*$B219+L220*$B220+L221*$B221+L222*$B222+L223*$B223+L224*$B224</f>
        <v>156.00711799999999</v>
      </c>
      <c r="M225" s="163">
        <f t="shared" si="115"/>
        <v>378.28515800000002</v>
      </c>
      <c r="N225" s="163">
        <f t="shared" si="115"/>
        <v>560.46951800000011</v>
      </c>
      <c r="O225" s="163">
        <f t="shared" si="115"/>
        <v>564.45913799999994</v>
      </c>
      <c r="P225" s="163">
        <f t="shared" si="115"/>
        <v>568.448758</v>
      </c>
      <c r="Q225" s="163">
        <f t="shared" si="115"/>
        <v>591.49397799999997</v>
      </c>
      <c r="R225" s="163">
        <f t="shared" si="115"/>
        <v>622.51843800000006</v>
      </c>
      <c r="S225" s="163">
        <f t="shared" si="115"/>
        <v>1255.1072380000001</v>
      </c>
      <c r="T225" s="163">
        <f t="shared" si="115"/>
        <v>172.17216000000002</v>
      </c>
      <c r="U225" s="164">
        <f t="shared" si="115"/>
        <v>100.0872</v>
      </c>
    </row>
    <row r="226" spans="1:21" hidden="1" outlineLevel="1" x14ac:dyDescent="0.2">
      <c r="A226" s="57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  <c r="S226" s="58"/>
      <c r="T226" s="58"/>
      <c r="U226" s="165"/>
    </row>
    <row r="227" spans="1:21" collapsed="1" x14ac:dyDescent="0.2"/>
    <row r="228" spans="1:21" x14ac:dyDescent="0.2">
      <c r="D228" s="166"/>
      <c r="E228" s="166"/>
    </row>
    <row r="269" spans="17:30" x14ac:dyDescent="0.2">
      <c r="V269" s="166" t="s">
        <v>6</v>
      </c>
      <c r="W269" s="166" t="s">
        <v>13</v>
      </c>
      <c r="X269" s="166" t="s">
        <v>3</v>
      </c>
      <c r="Y269" s="166" t="s">
        <v>109</v>
      </c>
      <c r="Z269" s="166" t="s">
        <v>110</v>
      </c>
      <c r="AA269" s="166" t="s">
        <v>111</v>
      </c>
      <c r="AB269" s="166" t="s">
        <v>112</v>
      </c>
      <c r="AC269" s="167" t="s">
        <v>113</v>
      </c>
      <c r="AD269" s="167" t="s">
        <v>114</v>
      </c>
    </row>
    <row r="270" spans="17:30" x14ac:dyDescent="0.2">
      <c r="Q270" s="168" t="s">
        <v>115</v>
      </c>
      <c r="R270" s="169">
        <v>26.981539000000001</v>
      </c>
      <c r="T270" s="170" t="s">
        <v>116</v>
      </c>
      <c r="V270" s="1">
        <v>0</v>
      </c>
      <c r="W270" s="1">
        <v>0</v>
      </c>
      <c r="X270" s="1">
        <v>1</v>
      </c>
      <c r="Y270" s="166">
        <f t="shared" ref="Y270:Y298" si="116">SUM(V270:X270)</f>
        <v>1</v>
      </c>
      <c r="Z270" s="166">
        <f t="shared" ref="Z270:Z297" si="117">+V270/Y270*100</f>
        <v>0</v>
      </c>
      <c r="AA270" s="166">
        <f t="shared" ref="AA270:AA298" si="118">+W270/Y270*100</f>
        <v>0</v>
      </c>
      <c r="AB270" s="166">
        <f t="shared" ref="AB270:AB298" si="119">+X270/Y270*100</f>
        <v>100</v>
      </c>
      <c r="AC270" s="171">
        <f t="shared" ref="AC270:AC297" si="120">+Z270+AD270/1.73205</f>
        <v>50</v>
      </c>
      <c r="AD270" s="171">
        <f t="shared" ref="AD270:AD297" si="121">+AB270*0.866025</f>
        <v>86.602500000000006</v>
      </c>
    </row>
    <row r="271" spans="17:30" x14ac:dyDescent="0.2">
      <c r="Q271" s="168" t="s">
        <v>117</v>
      </c>
      <c r="R271" s="169">
        <v>40.078000000000003</v>
      </c>
      <c r="T271" s="170" t="s">
        <v>82</v>
      </c>
      <c r="U271" s="36"/>
      <c r="V271" s="1">
        <v>1</v>
      </c>
      <c r="W271" s="1">
        <v>0</v>
      </c>
      <c r="X271" s="1">
        <v>0</v>
      </c>
      <c r="Y271" s="166">
        <f t="shared" si="116"/>
        <v>1</v>
      </c>
      <c r="Z271" s="166">
        <f t="shared" si="117"/>
        <v>100</v>
      </c>
      <c r="AA271" s="166">
        <f t="shared" si="118"/>
        <v>0</v>
      </c>
      <c r="AB271" s="166">
        <f t="shared" si="119"/>
        <v>0</v>
      </c>
      <c r="AC271" s="171">
        <f t="shared" si="120"/>
        <v>100</v>
      </c>
      <c r="AD271" s="171">
        <f t="shared" si="121"/>
        <v>0</v>
      </c>
    </row>
    <row r="272" spans="17:30" x14ac:dyDescent="0.2">
      <c r="Q272" s="168" t="s">
        <v>118</v>
      </c>
      <c r="R272" s="169">
        <v>22.989768000000002</v>
      </c>
      <c r="T272" s="170" t="s">
        <v>119</v>
      </c>
      <c r="U272" s="36"/>
      <c r="V272" s="1">
        <v>0</v>
      </c>
      <c r="W272" s="1">
        <v>1</v>
      </c>
      <c r="X272" s="1">
        <v>0</v>
      </c>
      <c r="Y272" s="166">
        <f t="shared" si="116"/>
        <v>1</v>
      </c>
      <c r="Z272" s="166">
        <f t="shared" si="117"/>
        <v>0</v>
      </c>
      <c r="AA272" s="166">
        <f t="shared" si="118"/>
        <v>100</v>
      </c>
      <c r="AB272" s="166">
        <f t="shared" si="119"/>
        <v>0</v>
      </c>
      <c r="AC272" s="171">
        <f t="shared" si="120"/>
        <v>0</v>
      </c>
      <c r="AD272" s="171">
        <f t="shared" si="121"/>
        <v>0</v>
      </c>
    </row>
    <row r="273" spans="17:30" x14ac:dyDescent="0.2">
      <c r="Q273" s="168" t="s">
        <v>120</v>
      </c>
      <c r="R273" s="169">
        <v>39.098300000000002</v>
      </c>
      <c r="T273" s="33" t="str">
        <f>T270</f>
        <v>s gel</v>
      </c>
      <c r="U273" s="33"/>
      <c r="V273" s="33">
        <f>V270</f>
        <v>0</v>
      </c>
      <c r="W273" s="33">
        <f>W270</f>
        <v>0</v>
      </c>
      <c r="X273" s="33">
        <f>X270</f>
        <v>1</v>
      </c>
      <c r="Y273" s="166">
        <f t="shared" si="116"/>
        <v>1</v>
      </c>
      <c r="Z273" s="166">
        <f t="shared" si="117"/>
        <v>0</v>
      </c>
      <c r="AA273" s="166">
        <f t="shared" si="118"/>
        <v>0</v>
      </c>
      <c r="AB273" s="166">
        <f t="shared" si="119"/>
        <v>100</v>
      </c>
      <c r="AC273" s="171">
        <f t="shared" si="120"/>
        <v>50</v>
      </c>
      <c r="AD273" s="171">
        <f t="shared" si="121"/>
        <v>86.602500000000006</v>
      </c>
    </row>
    <row r="274" spans="17:30" x14ac:dyDescent="0.2">
      <c r="Q274" s="168" t="s">
        <v>121</v>
      </c>
      <c r="R274" s="169">
        <v>55.847000000000001</v>
      </c>
      <c r="T274" s="170" t="s">
        <v>103</v>
      </c>
      <c r="U274" s="36"/>
      <c r="V274" s="95">
        <f>J205</f>
        <v>0.16167916748186939</v>
      </c>
      <c r="W274" s="95">
        <f>J203</f>
        <v>8.8921476117117551E-2</v>
      </c>
      <c r="X274" s="95">
        <f>J204</f>
        <v>0.57165110873154523</v>
      </c>
      <c r="Y274" s="166">
        <f t="shared" si="116"/>
        <v>0.82225175233053216</v>
      </c>
      <c r="Z274" s="166">
        <f t="shared" si="117"/>
        <v>19.662976335850598</v>
      </c>
      <c r="AA274" s="166">
        <f>+W274/Y274*100</f>
        <v>10.81438572372571</v>
      </c>
      <c r="AB274" s="166">
        <f t="shared" si="119"/>
        <v>69.522637940423692</v>
      </c>
      <c r="AC274" s="171">
        <f>+Z274+AD274/1.73205</f>
        <v>54.424295306062447</v>
      </c>
      <c r="AD274" s="171">
        <f t="shared" si="121"/>
        <v>60.20834252235543</v>
      </c>
    </row>
    <row r="275" spans="17:30" x14ac:dyDescent="0.2">
      <c r="Q275" s="168" t="s">
        <v>122</v>
      </c>
      <c r="R275" s="169">
        <v>24.305</v>
      </c>
      <c r="T275" s="33" t="str">
        <f>T271</f>
        <v>AH3</v>
      </c>
      <c r="U275" s="33"/>
      <c r="V275" s="33">
        <f>V271</f>
        <v>1</v>
      </c>
      <c r="W275" s="33">
        <f>W271</f>
        <v>0</v>
      </c>
      <c r="X275" s="33">
        <f>X271</f>
        <v>0</v>
      </c>
      <c r="Y275" s="166">
        <f t="shared" si="116"/>
        <v>1</v>
      </c>
      <c r="Z275" s="166">
        <f t="shared" si="117"/>
        <v>100</v>
      </c>
      <c r="AA275" s="166">
        <f t="shared" si="118"/>
        <v>0</v>
      </c>
      <c r="AB275" s="166">
        <f t="shared" si="119"/>
        <v>0</v>
      </c>
      <c r="AC275" s="171">
        <f t="shared" si="120"/>
        <v>100</v>
      </c>
      <c r="AD275" s="171">
        <f t="shared" si="121"/>
        <v>0</v>
      </c>
    </row>
    <row r="276" spans="17:30" x14ac:dyDescent="0.2">
      <c r="Q276" s="168" t="s">
        <v>123</v>
      </c>
      <c r="R276" s="169">
        <v>28.0855</v>
      </c>
      <c r="T276" s="172" t="s">
        <v>124</v>
      </c>
      <c r="U276" s="33"/>
      <c r="V276" s="1">
        <f>2*Al+3*mO</f>
        <v>101.96127799999999</v>
      </c>
      <c r="W276" s="1">
        <f>2*(mCa+mO)</f>
        <v>112.15480000000001</v>
      </c>
      <c r="X276" s="1">
        <f>1*(mSi+2*mO)</f>
        <v>60.084299999999999</v>
      </c>
      <c r="Y276" s="166">
        <f t="shared" si="116"/>
        <v>274.200378</v>
      </c>
      <c r="Z276" s="166">
        <f t="shared" si="117"/>
        <v>37.18495165604768</v>
      </c>
      <c r="AA276" s="166">
        <f t="shared" si="118"/>
        <v>40.902496494734955</v>
      </c>
      <c r="AB276" s="166">
        <f t="shared" si="119"/>
        <v>21.912551849217362</v>
      </c>
      <c r="AC276" s="171">
        <f t="shared" si="120"/>
        <v>48.141227580656363</v>
      </c>
      <c r="AD276" s="171">
        <f t="shared" si="121"/>
        <v>18.976817715218466</v>
      </c>
    </row>
    <row r="277" spans="17:30" x14ac:dyDescent="0.2">
      <c r="Q277" s="168" t="s">
        <v>125</v>
      </c>
      <c r="R277" s="169">
        <v>15.9994</v>
      </c>
      <c r="T277" s="1" t="s">
        <v>126</v>
      </c>
      <c r="U277" s="36"/>
      <c r="V277" s="1">
        <f>2*Al+3*mO</f>
        <v>101.96127799999999</v>
      </c>
      <c r="W277" s="1">
        <f>3*(mCa+mO)</f>
        <v>168.23220000000001</v>
      </c>
      <c r="X277" s="1">
        <v>0</v>
      </c>
      <c r="Y277" s="166">
        <f t="shared" si="116"/>
        <v>270.19347800000003</v>
      </c>
      <c r="Z277" s="166">
        <f t="shared" si="117"/>
        <v>37.736394954729434</v>
      </c>
      <c r="AA277" s="166">
        <f t="shared" si="118"/>
        <v>62.263605045270552</v>
      </c>
      <c r="AB277" s="166">
        <f t="shared" si="119"/>
        <v>0</v>
      </c>
      <c r="AC277" s="171">
        <f t="shared" si="120"/>
        <v>37.736394954729434</v>
      </c>
      <c r="AD277" s="171">
        <f t="shared" si="121"/>
        <v>0</v>
      </c>
    </row>
    <row r="278" spans="17:30" x14ac:dyDescent="0.2">
      <c r="Q278" s="168" t="s">
        <v>127</v>
      </c>
      <c r="R278" s="169">
        <v>1.0079400000000001</v>
      </c>
      <c r="T278" s="33" t="s">
        <v>124</v>
      </c>
      <c r="U278" s="33"/>
      <c r="V278" s="33">
        <f>V276</f>
        <v>101.96127799999999</v>
      </c>
      <c r="W278" s="33">
        <f>W276</f>
        <v>112.15480000000001</v>
      </c>
      <c r="X278" s="33">
        <f>X276</f>
        <v>60.084299999999999</v>
      </c>
      <c r="Y278" s="166">
        <f t="shared" si="116"/>
        <v>274.200378</v>
      </c>
      <c r="Z278" s="166">
        <f t="shared" si="117"/>
        <v>37.18495165604768</v>
      </c>
      <c r="AA278" s="166">
        <f t="shared" si="118"/>
        <v>40.902496494734955</v>
      </c>
      <c r="AB278" s="166">
        <f t="shared" si="119"/>
        <v>21.912551849217362</v>
      </c>
      <c r="AC278" s="171">
        <f t="shared" si="120"/>
        <v>48.141227580656363</v>
      </c>
      <c r="AD278" s="171">
        <f t="shared" si="121"/>
        <v>18.976817715218466</v>
      </c>
    </row>
    <row r="279" spans="17:30" x14ac:dyDescent="0.2">
      <c r="Q279" s="168" t="s">
        <v>128</v>
      </c>
      <c r="R279" s="169">
        <v>32.066000000000003</v>
      </c>
      <c r="T279" s="33" t="s">
        <v>103</v>
      </c>
      <c r="V279" s="95">
        <f>V274</f>
        <v>0.16167916748186939</v>
      </c>
      <c r="W279" s="95">
        <f>W274</f>
        <v>8.8921476117117551E-2</v>
      </c>
      <c r="X279" s="95">
        <f>X274</f>
        <v>0.57165110873154523</v>
      </c>
      <c r="Y279" s="166">
        <f t="shared" si="116"/>
        <v>0.82225175233053216</v>
      </c>
      <c r="Z279" s="166">
        <f t="shared" si="117"/>
        <v>19.662976335850598</v>
      </c>
      <c r="AA279" s="166">
        <f t="shared" si="118"/>
        <v>10.81438572372571</v>
      </c>
      <c r="AB279" s="166">
        <f t="shared" si="119"/>
        <v>69.522637940423692</v>
      </c>
      <c r="AC279" s="171">
        <f t="shared" si="120"/>
        <v>54.424295306062447</v>
      </c>
      <c r="AD279" s="171">
        <f t="shared" si="121"/>
        <v>60.20834252235543</v>
      </c>
    </row>
    <row r="280" spans="17:30" x14ac:dyDescent="0.2">
      <c r="Q280" s="28" t="s">
        <v>129</v>
      </c>
      <c r="R280" s="173">
        <v>12.010999999999999</v>
      </c>
      <c r="T280" s="174" t="s">
        <v>130</v>
      </c>
      <c r="U280" s="36" t="s">
        <v>131</v>
      </c>
      <c r="V280" s="174">
        <f>0.05*(2*Al+3*mO)</f>
        <v>5.0980638999999996</v>
      </c>
      <c r="W280" s="174">
        <f>0.67*(mCa+mO)</f>
        <v>37.571858000000006</v>
      </c>
      <c r="X280" s="174">
        <f>mSi+2*mO</f>
        <v>60.084299999999999</v>
      </c>
      <c r="Y280" s="166">
        <f t="shared" si="116"/>
        <v>102.7542219</v>
      </c>
      <c r="Z280" s="166">
        <f t="shared" si="117"/>
        <v>4.9614155075413011</v>
      </c>
      <c r="AA280" s="166">
        <f t="shared" si="118"/>
        <v>36.564782745924333</v>
      </c>
      <c r="AB280" s="166">
        <f t="shared" si="119"/>
        <v>58.473801746534363</v>
      </c>
      <c r="AC280" s="171">
        <f t="shared" si="120"/>
        <v>34.198316380808485</v>
      </c>
      <c r="AD280" s="171">
        <f t="shared" si="121"/>
        <v>50.639774157542426</v>
      </c>
    </row>
    <row r="281" spans="17:30" x14ac:dyDescent="0.2">
      <c r="Q281" s="168" t="s">
        <v>132</v>
      </c>
      <c r="R281" s="169">
        <v>87.62</v>
      </c>
      <c r="T281" s="33" t="s">
        <v>124</v>
      </c>
      <c r="U281" s="33" t="s">
        <v>80</v>
      </c>
      <c r="V281" s="33">
        <f>V278</f>
        <v>101.96127799999999</v>
      </c>
      <c r="W281" s="33">
        <f>W278</f>
        <v>112.15480000000001</v>
      </c>
      <c r="X281" s="33">
        <f>X278</f>
        <v>60.084299999999999</v>
      </c>
      <c r="Y281" s="166">
        <f t="shared" si="116"/>
        <v>274.200378</v>
      </c>
      <c r="Z281" s="166">
        <f t="shared" si="117"/>
        <v>37.18495165604768</v>
      </c>
      <c r="AA281" s="166">
        <f t="shared" si="118"/>
        <v>40.902496494734955</v>
      </c>
      <c r="AB281" s="166">
        <f t="shared" si="119"/>
        <v>21.912551849217362</v>
      </c>
      <c r="AC281" s="171">
        <f t="shared" si="120"/>
        <v>48.141227580656363</v>
      </c>
      <c r="AD281" s="171">
        <f t="shared" si="121"/>
        <v>18.976817715218466</v>
      </c>
    </row>
    <row r="282" spans="17:30" x14ac:dyDescent="0.2">
      <c r="Q282" s="168" t="s">
        <v>133</v>
      </c>
      <c r="R282" s="169">
        <v>6.9409999999999998</v>
      </c>
      <c r="T282" s="175"/>
      <c r="U282" s="36" t="s">
        <v>134</v>
      </c>
      <c r="V282" s="1">
        <f>0.1*(2*Al+3*mO)</f>
        <v>10.196127799999999</v>
      </c>
      <c r="W282" s="1">
        <f>1.3*(mCa+mO)</f>
        <v>72.900620000000004</v>
      </c>
      <c r="X282" s="1">
        <f>mSi+2*mO</f>
        <v>60.084299999999999</v>
      </c>
      <c r="Y282" s="166">
        <f t="shared" si="116"/>
        <v>143.18104779999999</v>
      </c>
      <c r="Z282" s="166">
        <f t="shared" si="117"/>
        <v>7.1211434450754174</v>
      </c>
      <c r="AA282" s="166">
        <f t="shared" si="118"/>
        <v>50.914992675448211</v>
      </c>
      <c r="AB282" s="166">
        <f t="shared" si="119"/>
        <v>41.963863879476378</v>
      </c>
      <c r="AC282" s="171">
        <f t="shared" si="120"/>
        <v>28.103075384813607</v>
      </c>
      <c r="AD282" s="171">
        <f t="shared" si="121"/>
        <v>36.341755216223532</v>
      </c>
    </row>
    <row r="283" spans="17:30" x14ac:dyDescent="0.2">
      <c r="Q283" s="168" t="s">
        <v>135</v>
      </c>
      <c r="R283" s="169">
        <v>14.0067</v>
      </c>
      <c r="T283" s="1" t="s">
        <v>126</v>
      </c>
      <c r="V283" s="1">
        <f>2*Al+3*mO</f>
        <v>101.96127799999999</v>
      </c>
      <c r="W283" s="1">
        <f>3*(mCa+mO)</f>
        <v>168.23220000000001</v>
      </c>
      <c r="X283" s="1">
        <v>0</v>
      </c>
      <c r="Y283" s="166">
        <f t="shared" si="116"/>
        <v>270.19347800000003</v>
      </c>
      <c r="Z283" s="166">
        <f t="shared" si="117"/>
        <v>37.736394954729434</v>
      </c>
      <c r="AA283" s="166">
        <f t="shared" si="118"/>
        <v>62.263605045270552</v>
      </c>
      <c r="AB283" s="166">
        <f t="shared" si="119"/>
        <v>0</v>
      </c>
      <c r="AC283" s="171">
        <f t="shared" si="120"/>
        <v>37.736394954729434</v>
      </c>
      <c r="AD283" s="171">
        <f t="shared" si="121"/>
        <v>0</v>
      </c>
    </row>
    <row r="284" spans="17:30" x14ac:dyDescent="0.2">
      <c r="Q284" s="28" t="s">
        <v>136</v>
      </c>
      <c r="R284" s="176">
        <f>mC+2*mO</f>
        <v>44.009799999999998</v>
      </c>
      <c r="T284" s="170" t="s">
        <v>137</v>
      </c>
      <c r="U284" s="36" t="s">
        <v>138</v>
      </c>
      <c r="V284" s="1">
        <f>0.05*(2*Al+3*mO)</f>
        <v>5.0980638999999996</v>
      </c>
      <c r="W284" s="1">
        <f>1.75*(mCa+mO)</f>
        <v>98.135450000000006</v>
      </c>
      <c r="X284" s="1">
        <f>mSi+2*mO</f>
        <v>60.084299999999999</v>
      </c>
      <c r="Y284" s="166">
        <f t="shared" si="116"/>
        <v>163.3178139</v>
      </c>
      <c r="Z284" s="166">
        <f t="shared" si="117"/>
        <v>3.1215602133405724</v>
      </c>
      <c r="AA284" s="166">
        <f t="shared" si="118"/>
        <v>60.088638009867459</v>
      </c>
      <c r="AB284" s="166">
        <f t="shared" si="119"/>
        <v>36.789801776791961</v>
      </c>
      <c r="AC284" s="171">
        <f t="shared" si="120"/>
        <v>21.516461101736553</v>
      </c>
      <c r="AD284" s="171">
        <f t="shared" si="121"/>
        <v>31.860888083746261</v>
      </c>
    </row>
    <row r="285" spans="17:30" x14ac:dyDescent="0.2">
      <c r="T285" s="1" t="s">
        <v>119</v>
      </c>
      <c r="V285" s="1">
        <v>0</v>
      </c>
      <c r="W285" s="1">
        <v>1</v>
      </c>
      <c r="X285" s="1">
        <v>0</v>
      </c>
      <c r="Y285" s="166">
        <f t="shared" si="116"/>
        <v>1</v>
      </c>
      <c r="Z285" s="166">
        <f t="shared" si="117"/>
        <v>0</v>
      </c>
      <c r="AA285" s="166">
        <f t="shared" si="118"/>
        <v>100</v>
      </c>
      <c r="AB285" s="166">
        <f t="shared" si="119"/>
        <v>0</v>
      </c>
      <c r="AC285" s="171">
        <f t="shared" si="120"/>
        <v>0</v>
      </c>
      <c r="AD285" s="171">
        <f t="shared" si="121"/>
        <v>0</v>
      </c>
    </row>
    <row r="286" spans="17:30" x14ac:dyDescent="0.2">
      <c r="T286" s="1" t="s">
        <v>137</v>
      </c>
      <c r="U286" s="36" t="s">
        <v>139</v>
      </c>
      <c r="V286" s="1">
        <f>0*102</f>
        <v>0</v>
      </c>
      <c r="W286" s="1">
        <f>1.75*(mCa+mO)</f>
        <v>98.135450000000006</v>
      </c>
      <c r="X286" s="1">
        <f>mSi+2*mO</f>
        <v>60.084299999999999</v>
      </c>
      <c r="Y286" s="166">
        <f t="shared" si="116"/>
        <v>158.21975</v>
      </c>
      <c r="Z286" s="166">
        <f t="shared" si="117"/>
        <v>0</v>
      </c>
      <c r="AA286" s="166">
        <f t="shared" si="118"/>
        <v>62.02477882818043</v>
      </c>
      <c r="AB286" s="166">
        <f t="shared" si="119"/>
        <v>37.97522117181957</v>
      </c>
      <c r="AC286" s="171">
        <f t="shared" si="120"/>
        <v>18.987610585909785</v>
      </c>
      <c r="AD286" s="171">
        <f t="shared" si="121"/>
        <v>32.887490915325046</v>
      </c>
    </row>
    <row r="287" spans="17:30" x14ac:dyDescent="0.2">
      <c r="T287" s="1" t="s">
        <v>119</v>
      </c>
      <c r="V287" s="1">
        <v>0</v>
      </c>
      <c r="W287" s="1">
        <v>1</v>
      </c>
      <c r="X287" s="1">
        <v>0</v>
      </c>
      <c r="Y287" s="166">
        <f t="shared" si="116"/>
        <v>1</v>
      </c>
      <c r="Z287" s="166">
        <f t="shared" si="117"/>
        <v>0</v>
      </c>
      <c r="AA287" s="166">
        <f t="shared" si="118"/>
        <v>100</v>
      </c>
      <c r="AB287" s="166">
        <f t="shared" si="119"/>
        <v>0</v>
      </c>
      <c r="AC287" s="171">
        <f t="shared" si="120"/>
        <v>0</v>
      </c>
      <c r="AD287" s="171">
        <f t="shared" si="121"/>
        <v>0</v>
      </c>
    </row>
    <row r="288" spans="17:30" x14ac:dyDescent="0.2">
      <c r="T288" s="1" t="s">
        <v>137</v>
      </c>
      <c r="U288" s="36" t="s">
        <v>139</v>
      </c>
      <c r="V288" s="1">
        <f>0*102</f>
        <v>0</v>
      </c>
      <c r="W288" s="1">
        <f>1.75*(mCa+mO)</f>
        <v>98.135450000000006</v>
      </c>
      <c r="X288" s="1">
        <f t="shared" ref="X288:X293" si="122">mSi+2*mO</f>
        <v>60.084299999999999</v>
      </c>
      <c r="Y288" s="166">
        <f t="shared" si="116"/>
        <v>158.21975</v>
      </c>
      <c r="Z288" s="166">
        <f t="shared" si="117"/>
        <v>0</v>
      </c>
      <c r="AA288" s="166">
        <f t="shared" si="118"/>
        <v>62.02477882818043</v>
      </c>
      <c r="AB288" s="166">
        <f t="shared" si="119"/>
        <v>37.97522117181957</v>
      </c>
      <c r="AC288" s="171">
        <f t="shared" si="120"/>
        <v>18.987610585909785</v>
      </c>
      <c r="AD288" s="171">
        <f t="shared" si="121"/>
        <v>32.887490915325046</v>
      </c>
    </row>
    <row r="289" spans="17:30" x14ac:dyDescent="0.2">
      <c r="T289" s="1" t="s">
        <v>137</v>
      </c>
      <c r="U289" s="36" t="s">
        <v>138</v>
      </c>
      <c r="V289" s="1">
        <f>0.05*(2*Al+3*mO)</f>
        <v>5.0980638999999996</v>
      </c>
      <c r="W289" s="1">
        <f>1.75*(mCa+mO)</f>
        <v>98.135450000000006</v>
      </c>
      <c r="X289" s="1">
        <f>mSi+2*mO</f>
        <v>60.084299999999999</v>
      </c>
      <c r="Y289" s="166">
        <f t="shared" si="116"/>
        <v>163.3178139</v>
      </c>
      <c r="Z289" s="166">
        <f t="shared" si="117"/>
        <v>3.1215602133405724</v>
      </c>
      <c r="AA289" s="166">
        <f t="shared" si="118"/>
        <v>60.088638009867459</v>
      </c>
      <c r="AB289" s="166">
        <f t="shared" si="119"/>
        <v>36.789801776791961</v>
      </c>
      <c r="AC289" s="171">
        <f t="shared" si="120"/>
        <v>21.516461101736553</v>
      </c>
      <c r="AD289" s="171">
        <f t="shared" si="121"/>
        <v>31.860888083746261</v>
      </c>
    </row>
    <row r="290" spans="17:30" x14ac:dyDescent="0.2">
      <c r="T290" s="36" t="s">
        <v>140</v>
      </c>
      <c r="U290" s="36" t="s">
        <v>134</v>
      </c>
      <c r="V290" s="1">
        <f>0.1*(2*Al+3*mO)</f>
        <v>10.196127799999999</v>
      </c>
      <c r="W290" s="1">
        <f>1.3*(mCa+mO)</f>
        <v>72.900620000000004</v>
      </c>
      <c r="X290" s="1">
        <f t="shared" si="122"/>
        <v>60.084299999999999</v>
      </c>
      <c r="Y290" s="166">
        <f t="shared" si="116"/>
        <v>143.18104779999999</v>
      </c>
      <c r="Z290" s="166">
        <f t="shared" si="117"/>
        <v>7.1211434450754174</v>
      </c>
      <c r="AA290" s="166">
        <f t="shared" si="118"/>
        <v>50.914992675448211</v>
      </c>
      <c r="AB290" s="166">
        <f t="shared" si="119"/>
        <v>41.963863879476378</v>
      </c>
      <c r="AC290" s="171">
        <f t="shared" si="120"/>
        <v>28.103075384813607</v>
      </c>
      <c r="AD290" s="171">
        <f t="shared" si="121"/>
        <v>36.341755216223532</v>
      </c>
    </row>
    <row r="291" spans="17:30" x14ac:dyDescent="0.2">
      <c r="T291" s="1" t="s">
        <v>130</v>
      </c>
      <c r="U291" s="36" t="s">
        <v>131</v>
      </c>
      <c r="V291" s="174">
        <f>0.05*(2*Al+3*mO)</f>
        <v>5.0980638999999996</v>
      </c>
      <c r="W291" s="174">
        <f>0.67*(mCa+mO)</f>
        <v>37.571858000000006</v>
      </c>
      <c r="X291" s="174">
        <f t="shared" si="122"/>
        <v>60.084299999999999</v>
      </c>
      <c r="Y291" s="166">
        <f t="shared" si="116"/>
        <v>102.7542219</v>
      </c>
      <c r="Z291" s="166">
        <f t="shared" si="117"/>
        <v>4.9614155075413011</v>
      </c>
      <c r="AA291" s="166">
        <f t="shared" si="118"/>
        <v>36.564782745924333</v>
      </c>
      <c r="AB291" s="166">
        <f t="shared" si="119"/>
        <v>58.473801746534363</v>
      </c>
      <c r="AC291" s="171">
        <f t="shared" si="120"/>
        <v>34.198316380808485</v>
      </c>
      <c r="AD291" s="171">
        <f t="shared" si="121"/>
        <v>50.639774157542426</v>
      </c>
    </row>
    <row r="292" spans="17:30" x14ac:dyDescent="0.2">
      <c r="T292" s="1" t="s">
        <v>130</v>
      </c>
      <c r="U292" s="36" t="s">
        <v>141</v>
      </c>
      <c r="V292" s="1">
        <f>0*102</f>
        <v>0</v>
      </c>
      <c r="W292" s="1">
        <f>0.67*(mCa+mO)</f>
        <v>37.571858000000006</v>
      </c>
      <c r="X292" s="1">
        <f t="shared" si="122"/>
        <v>60.084299999999999</v>
      </c>
      <c r="Y292" s="166">
        <f t="shared" si="116"/>
        <v>97.656158000000005</v>
      </c>
      <c r="Z292" s="166">
        <f t="shared" si="117"/>
        <v>0</v>
      </c>
      <c r="AA292" s="166">
        <f t="shared" si="118"/>
        <v>38.473618837226837</v>
      </c>
      <c r="AB292" s="166">
        <f t="shared" si="119"/>
        <v>61.526381162773156</v>
      </c>
      <c r="AC292" s="171">
        <f t="shared" si="120"/>
        <v>30.763190581386578</v>
      </c>
      <c r="AD292" s="171">
        <f t="shared" si="121"/>
        <v>53.283384246490627</v>
      </c>
    </row>
    <row r="293" spans="17:30" x14ac:dyDescent="0.2">
      <c r="T293" s="1" t="s">
        <v>130</v>
      </c>
      <c r="U293" s="36" t="s">
        <v>131</v>
      </c>
      <c r="V293" s="174">
        <f>0.05*(2*Al+3*mO)</f>
        <v>5.0980638999999996</v>
      </c>
      <c r="W293" s="174">
        <f>0.67*(mCa+mO)</f>
        <v>37.571858000000006</v>
      </c>
      <c r="X293" s="174">
        <f t="shared" si="122"/>
        <v>60.084299999999999</v>
      </c>
      <c r="Y293" s="166">
        <f t="shared" si="116"/>
        <v>102.7542219</v>
      </c>
      <c r="Z293" s="166">
        <f t="shared" si="117"/>
        <v>4.9614155075413011</v>
      </c>
      <c r="AA293" s="166">
        <f t="shared" si="118"/>
        <v>36.564782745924333</v>
      </c>
      <c r="AB293" s="166">
        <f t="shared" si="119"/>
        <v>58.473801746534363</v>
      </c>
      <c r="AC293" s="171">
        <f t="shared" si="120"/>
        <v>34.198316380808485</v>
      </c>
      <c r="AD293" s="171">
        <f t="shared" si="121"/>
        <v>50.639774157542426</v>
      </c>
    </row>
    <row r="294" spans="17:30" x14ac:dyDescent="0.2">
      <c r="T294" s="33" t="str">
        <f>T270</f>
        <v>s gel</v>
      </c>
      <c r="U294" s="33"/>
      <c r="V294" s="33">
        <f>V270</f>
        <v>0</v>
      </c>
      <c r="W294" s="33">
        <f>W270</f>
        <v>0</v>
      </c>
      <c r="X294" s="33">
        <f>X270</f>
        <v>1</v>
      </c>
      <c r="Y294" s="166">
        <f>SUM(V294:X294)</f>
        <v>1</v>
      </c>
      <c r="Z294" s="166">
        <f t="shared" si="117"/>
        <v>0</v>
      </c>
      <c r="AA294" s="166">
        <f t="shared" si="118"/>
        <v>0</v>
      </c>
      <c r="AB294" s="166">
        <f t="shared" si="119"/>
        <v>100</v>
      </c>
      <c r="AC294" s="171">
        <f t="shared" si="120"/>
        <v>50</v>
      </c>
      <c r="AD294" s="171">
        <f t="shared" si="121"/>
        <v>86.602500000000006</v>
      </c>
    </row>
    <row r="295" spans="17:30" x14ac:dyDescent="0.2">
      <c r="T295" s="33" t="str">
        <f>T292</f>
        <v>c-s-h2</v>
      </c>
      <c r="U295" s="33" t="str">
        <f>U292</f>
        <v>C0.67SH</v>
      </c>
      <c r="V295" s="33">
        <f>V292</f>
        <v>0</v>
      </c>
      <c r="W295" s="33">
        <f>W292</f>
        <v>37.571858000000006</v>
      </c>
      <c r="X295" s="33">
        <f>X292</f>
        <v>60.084299999999999</v>
      </c>
      <c r="Y295" s="166">
        <f>SUM(V295:X295)</f>
        <v>97.656158000000005</v>
      </c>
      <c r="Z295" s="166">
        <f t="shared" si="117"/>
        <v>0</v>
      </c>
      <c r="AA295" s="166">
        <f t="shared" si="118"/>
        <v>38.473618837226837</v>
      </c>
      <c r="AB295" s="166">
        <f t="shared" si="119"/>
        <v>61.526381162773156</v>
      </c>
      <c r="AC295" s="171">
        <f t="shared" si="120"/>
        <v>30.763190581386578</v>
      </c>
      <c r="AD295" s="171">
        <f t="shared" si="121"/>
        <v>53.283384246490627</v>
      </c>
    </row>
    <row r="296" spans="17:30" x14ac:dyDescent="0.2">
      <c r="T296" s="36" t="s">
        <v>140</v>
      </c>
      <c r="U296" s="36" t="s">
        <v>134</v>
      </c>
      <c r="V296" s="1">
        <f>0.1*(2*Al+3*mO)</f>
        <v>10.196127799999999</v>
      </c>
      <c r="W296" s="1">
        <f>1.3*(mCa+mO)</f>
        <v>72.900620000000004</v>
      </c>
      <c r="X296" s="1">
        <f>mSi+2*mO</f>
        <v>60.084299999999999</v>
      </c>
      <c r="Y296" s="166">
        <f>SUM(V296:X296)</f>
        <v>143.18104779999999</v>
      </c>
      <c r="Z296" s="166">
        <f t="shared" si="117"/>
        <v>7.1211434450754174</v>
      </c>
      <c r="AA296" s="166">
        <f t="shared" si="118"/>
        <v>50.914992675448211</v>
      </c>
      <c r="AB296" s="166">
        <f t="shared" si="119"/>
        <v>41.963863879476378</v>
      </c>
      <c r="AC296" s="171">
        <f t="shared" si="120"/>
        <v>28.103075384813607</v>
      </c>
      <c r="AD296" s="171">
        <f t="shared" si="121"/>
        <v>36.341755216223532</v>
      </c>
    </row>
    <row r="297" spans="17:30" x14ac:dyDescent="0.2">
      <c r="T297" s="1" t="s">
        <v>137</v>
      </c>
      <c r="U297" s="36" t="s">
        <v>139</v>
      </c>
      <c r="V297" s="1">
        <f>0*102</f>
        <v>0</v>
      </c>
      <c r="W297" s="1">
        <f>1.75*(mCa+mO)</f>
        <v>98.135450000000006</v>
      </c>
      <c r="X297" s="1">
        <f>mSi+2*mO</f>
        <v>60.084299999999999</v>
      </c>
      <c r="Y297" s="166">
        <f t="shared" si="116"/>
        <v>158.21975</v>
      </c>
      <c r="Z297" s="166">
        <f t="shared" si="117"/>
        <v>0</v>
      </c>
      <c r="AA297" s="166">
        <f t="shared" si="118"/>
        <v>62.02477882818043</v>
      </c>
      <c r="AB297" s="166">
        <f t="shared" si="119"/>
        <v>37.97522117181957</v>
      </c>
      <c r="AC297" s="171">
        <f t="shared" si="120"/>
        <v>18.987610585909785</v>
      </c>
      <c r="AD297" s="171">
        <f t="shared" si="121"/>
        <v>32.887490915325046</v>
      </c>
    </row>
    <row r="298" spans="17:30" x14ac:dyDescent="0.2">
      <c r="V298" s="177">
        <f>V21</f>
        <v>3.1178390819805406</v>
      </c>
      <c r="W298" s="177">
        <f>'without thaumasite'!V19</f>
        <v>38.666991506697293</v>
      </c>
      <c r="X298" s="177">
        <f>'without thaumasite'!V20</f>
        <v>14.294996751137104</v>
      </c>
      <c r="Y298" s="178">
        <f t="shared" si="116"/>
        <v>56.079827339814941</v>
      </c>
      <c r="Z298" s="178">
        <f>+V298/Y298*100</f>
        <v>5.559644581442873</v>
      </c>
      <c r="AA298" s="178">
        <f t="shared" si="118"/>
        <v>68.949911832636701</v>
      </c>
      <c r="AB298" s="178">
        <f t="shared" si="119"/>
        <v>25.490443585920421</v>
      </c>
      <c r="AC298" s="179">
        <f>+Z298+AD298/1.73205</f>
        <v>18.304866374403083</v>
      </c>
      <c r="AD298" s="179">
        <f>+AB298*0.866025</f>
        <v>22.075361406496732</v>
      </c>
    </row>
    <row r="299" spans="17:30" x14ac:dyDescent="0.2">
      <c r="AC299" s="33"/>
      <c r="AD299" s="33"/>
    </row>
    <row r="300" spans="17:30" x14ac:dyDescent="0.2">
      <c r="V300" s="166" t="s">
        <v>95</v>
      </c>
      <c r="W300" s="166" t="s">
        <v>50</v>
      </c>
      <c r="X300" s="166" t="s">
        <v>96</v>
      </c>
      <c r="Z300" s="166" t="s">
        <v>95</v>
      </c>
      <c r="AA300" s="166" t="s">
        <v>50</v>
      </c>
      <c r="AB300" s="166" t="s">
        <v>96</v>
      </c>
      <c r="AC300" s="33"/>
      <c r="AD300" s="33"/>
    </row>
    <row r="301" spans="17:30" x14ac:dyDescent="0.2">
      <c r="R301" s="166" t="s">
        <v>50</v>
      </c>
      <c r="S301" s="166" t="s">
        <v>96</v>
      </c>
      <c r="T301" s="166" t="s">
        <v>95</v>
      </c>
      <c r="U301" s="166" t="s">
        <v>109</v>
      </c>
      <c r="V301" s="166" t="s">
        <v>110</v>
      </c>
      <c r="W301" s="166" t="s">
        <v>111</v>
      </c>
      <c r="X301" s="166" t="s">
        <v>112</v>
      </c>
      <c r="Y301" s="166"/>
      <c r="Z301" s="166" t="s">
        <v>110</v>
      </c>
      <c r="AA301" s="166" t="s">
        <v>111</v>
      </c>
      <c r="AB301" s="166" t="s">
        <v>112</v>
      </c>
      <c r="AC301" s="180" t="s">
        <v>113</v>
      </c>
      <c r="AD301" s="180" t="s">
        <v>114</v>
      </c>
    </row>
    <row r="302" spans="17:30" x14ac:dyDescent="0.2">
      <c r="Q302" s="1" t="s">
        <v>50</v>
      </c>
      <c r="R302" s="1">
        <v>1</v>
      </c>
      <c r="S302" s="1">
        <v>0</v>
      </c>
      <c r="T302" s="1">
        <v>0</v>
      </c>
      <c r="U302" s="166">
        <f t="shared" ref="U302:U314" si="123">SUM(R302:T302)</f>
        <v>1</v>
      </c>
      <c r="V302" s="166">
        <f t="shared" ref="V302:V314" si="124">+T302/U302*100</f>
        <v>0</v>
      </c>
      <c r="W302" s="166">
        <f t="shared" ref="W302:W314" si="125">+R302/U302*100</f>
        <v>100</v>
      </c>
      <c r="X302" s="166">
        <f t="shared" ref="X302:X314" si="126">+S302/U302*100</f>
        <v>0</v>
      </c>
      <c r="Y302" s="166">
        <f t="shared" ref="Y302:Y314" si="127">(W302*270+X302*136+V302*100)</f>
        <v>27000</v>
      </c>
      <c r="Z302" s="166">
        <f t="shared" ref="Z302:Z314" si="128">V302*100/Y302*100</f>
        <v>0</v>
      </c>
      <c r="AA302" s="166">
        <f t="shared" ref="AA302:AA314" si="129">W302*270/Y302*100</f>
        <v>100</v>
      </c>
      <c r="AB302" s="166">
        <f t="shared" ref="AB302:AB314" si="130">X302*136/Y302*100</f>
        <v>0</v>
      </c>
      <c r="AC302" s="33">
        <f t="shared" ref="AC302:AC314" si="131">+Z302+AD302/1.73205</f>
        <v>0</v>
      </c>
      <c r="AD302" s="33">
        <f t="shared" ref="AD302:AD314" si="132">+AB302*0.866025</f>
        <v>0</v>
      </c>
    </row>
    <row r="303" spans="17:30" x14ac:dyDescent="0.2">
      <c r="Q303" s="1" t="s">
        <v>96</v>
      </c>
      <c r="R303" s="1">
        <v>0</v>
      </c>
      <c r="S303" s="1">
        <v>1</v>
      </c>
      <c r="T303" s="1">
        <v>0</v>
      </c>
      <c r="U303" s="166">
        <f t="shared" si="123"/>
        <v>1</v>
      </c>
      <c r="V303" s="166">
        <f t="shared" si="124"/>
        <v>0</v>
      </c>
      <c r="W303" s="166">
        <f t="shared" si="125"/>
        <v>0</v>
      </c>
      <c r="X303" s="166">
        <f t="shared" si="126"/>
        <v>100</v>
      </c>
      <c r="Y303" s="166">
        <f t="shared" si="127"/>
        <v>13600</v>
      </c>
      <c r="Z303" s="166">
        <f t="shared" si="128"/>
        <v>0</v>
      </c>
      <c r="AA303" s="166">
        <f t="shared" si="129"/>
        <v>0</v>
      </c>
      <c r="AB303" s="166">
        <f t="shared" si="130"/>
        <v>100</v>
      </c>
      <c r="AC303" s="33">
        <f t="shared" si="131"/>
        <v>50</v>
      </c>
      <c r="AD303" s="33">
        <f t="shared" si="132"/>
        <v>86.602500000000006</v>
      </c>
    </row>
    <row r="304" spans="17:30" x14ac:dyDescent="0.2">
      <c r="Q304" s="1" t="s">
        <v>95</v>
      </c>
      <c r="R304" s="1">
        <v>0</v>
      </c>
      <c r="S304" s="1">
        <v>0</v>
      </c>
      <c r="T304" s="1">
        <v>1</v>
      </c>
      <c r="U304" s="166">
        <f t="shared" si="123"/>
        <v>1</v>
      </c>
      <c r="V304" s="166">
        <f t="shared" si="124"/>
        <v>100</v>
      </c>
      <c r="W304" s="166">
        <f t="shared" si="125"/>
        <v>0</v>
      </c>
      <c r="X304" s="166">
        <f t="shared" si="126"/>
        <v>0</v>
      </c>
      <c r="Y304" s="166">
        <f t="shared" si="127"/>
        <v>10000</v>
      </c>
      <c r="Z304" s="166">
        <f t="shared" si="128"/>
        <v>100</v>
      </c>
      <c r="AA304" s="166">
        <f t="shared" si="129"/>
        <v>0</v>
      </c>
      <c r="AB304" s="166">
        <f t="shared" si="130"/>
        <v>0</v>
      </c>
      <c r="AC304" s="33">
        <f t="shared" si="131"/>
        <v>100</v>
      </c>
      <c r="AD304" s="33">
        <f t="shared" si="132"/>
        <v>0</v>
      </c>
    </row>
    <row r="305" spans="17:30" x14ac:dyDescent="0.2">
      <c r="Q305" s="1" t="s">
        <v>50</v>
      </c>
      <c r="R305" s="1">
        <v>1</v>
      </c>
      <c r="S305" s="1">
        <v>0</v>
      </c>
      <c r="T305" s="1">
        <v>0</v>
      </c>
      <c r="U305" s="166">
        <f t="shared" si="123"/>
        <v>1</v>
      </c>
      <c r="V305" s="166">
        <f t="shared" si="124"/>
        <v>0</v>
      </c>
      <c r="W305" s="166">
        <f t="shared" si="125"/>
        <v>100</v>
      </c>
      <c r="X305" s="166">
        <f t="shared" si="126"/>
        <v>0</v>
      </c>
      <c r="Y305" s="166">
        <f t="shared" si="127"/>
        <v>27000</v>
      </c>
      <c r="Z305" s="166">
        <f t="shared" si="128"/>
        <v>0</v>
      </c>
      <c r="AA305" s="166">
        <f t="shared" si="129"/>
        <v>100</v>
      </c>
      <c r="AB305" s="166">
        <f t="shared" si="130"/>
        <v>0</v>
      </c>
      <c r="AC305" s="33">
        <f t="shared" si="131"/>
        <v>0</v>
      </c>
      <c r="AD305" s="33">
        <f t="shared" si="132"/>
        <v>0</v>
      </c>
    </row>
    <row r="306" spans="17:30" x14ac:dyDescent="0.2">
      <c r="Q306" s="36" t="s">
        <v>142</v>
      </c>
      <c r="R306" s="1">
        <v>1</v>
      </c>
      <c r="S306" s="1">
        <v>0.5</v>
      </c>
      <c r="T306" s="1">
        <v>0</v>
      </c>
      <c r="U306" s="166">
        <f t="shared" si="123"/>
        <v>1.5</v>
      </c>
      <c r="V306" s="166">
        <f t="shared" si="124"/>
        <v>0</v>
      </c>
      <c r="W306" s="166">
        <f t="shared" si="125"/>
        <v>66.666666666666657</v>
      </c>
      <c r="X306" s="166">
        <f t="shared" si="126"/>
        <v>33.333333333333329</v>
      </c>
      <c r="Y306" s="166">
        <f t="shared" si="127"/>
        <v>22533.333333333328</v>
      </c>
      <c r="Z306" s="166">
        <f t="shared" si="128"/>
        <v>0</v>
      </c>
      <c r="AA306" s="166">
        <f t="shared" si="129"/>
        <v>79.881656804733723</v>
      </c>
      <c r="AB306" s="166">
        <f t="shared" si="130"/>
        <v>20.118343195266274</v>
      </c>
      <c r="AC306" s="33">
        <f t="shared" si="131"/>
        <v>10.059171597633137</v>
      </c>
      <c r="AD306" s="33">
        <f t="shared" si="132"/>
        <v>17.422988165680476</v>
      </c>
    </row>
    <row r="307" spans="17:30" x14ac:dyDescent="0.2">
      <c r="Q307" s="1" t="s">
        <v>43</v>
      </c>
      <c r="R307" s="1">
        <v>1</v>
      </c>
      <c r="S307" s="1">
        <v>0</v>
      </c>
      <c r="T307" s="1">
        <v>0.5</v>
      </c>
      <c r="U307" s="166">
        <f t="shared" si="123"/>
        <v>1.5</v>
      </c>
      <c r="V307" s="166">
        <f t="shared" si="124"/>
        <v>33.333333333333329</v>
      </c>
      <c r="W307" s="166">
        <f t="shared" si="125"/>
        <v>66.666666666666657</v>
      </c>
      <c r="X307" s="166">
        <f t="shared" si="126"/>
        <v>0</v>
      </c>
      <c r="Y307" s="166">
        <f t="shared" si="127"/>
        <v>21333.333333333328</v>
      </c>
      <c r="Z307" s="166">
        <f t="shared" si="128"/>
        <v>15.625000000000004</v>
      </c>
      <c r="AA307" s="166">
        <f t="shared" si="129"/>
        <v>84.375</v>
      </c>
      <c r="AB307" s="166">
        <f t="shared" si="130"/>
        <v>0</v>
      </c>
      <c r="AC307" s="33">
        <f t="shared" si="131"/>
        <v>15.625000000000004</v>
      </c>
      <c r="AD307" s="33">
        <f t="shared" si="132"/>
        <v>0</v>
      </c>
    </row>
    <row r="308" spans="17:30" x14ac:dyDescent="0.2">
      <c r="Q308" s="1" t="s">
        <v>46</v>
      </c>
      <c r="R308" s="1">
        <v>1</v>
      </c>
      <c r="S308" s="1">
        <v>1</v>
      </c>
      <c r="T308" s="1">
        <v>0</v>
      </c>
      <c r="U308" s="166">
        <f t="shared" si="123"/>
        <v>2</v>
      </c>
      <c r="V308" s="166">
        <f t="shared" si="124"/>
        <v>0</v>
      </c>
      <c r="W308" s="166">
        <f t="shared" si="125"/>
        <v>50</v>
      </c>
      <c r="X308" s="166">
        <f t="shared" si="126"/>
        <v>50</v>
      </c>
      <c r="Y308" s="166">
        <f t="shared" si="127"/>
        <v>20300</v>
      </c>
      <c r="Z308" s="166">
        <f t="shared" si="128"/>
        <v>0</v>
      </c>
      <c r="AA308" s="166">
        <f t="shared" si="129"/>
        <v>66.502463054187189</v>
      </c>
      <c r="AB308" s="166">
        <f t="shared" si="130"/>
        <v>33.497536945812804</v>
      </c>
      <c r="AC308" s="33">
        <f t="shared" si="131"/>
        <v>16.748768472906402</v>
      </c>
      <c r="AD308" s="33">
        <f t="shared" si="132"/>
        <v>29.009704433497536</v>
      </c>
    </row>
    <row r="309" spans="17:30" x14ac:dyDescent="0.2">
      <c r="Q309" s="1" t="s">
        <v>43</v>
      </c>
      <c r="R309" s="1">
        <v>1</v>
      </c>
      <c r="S309" s="1">
        <v>0</v>
      </c>
      <c r="T309" s="1">
        <v>0.5</v>
      </c>
      <c r="U309" s="166">
        <f t="shared" si="123"/>
        <v>1.5</v>
      </c>
      <c r="V309" s="166">
        <f t="shared" si="124"/>
        <v>33.333333333333329</v>
      </c>
      <c r="W309" s="166">
        <f t="shared" si="125"/>
        <v>66.666666666666657</v>
      </c>
      <c r="X309" s="166">
        <f t="shared" si="126"/>
        <v>0</v>
      </c>
      <c r="Y309" s="166">
        <f t="shared" si="127"/>
        <v>21333.333333333328</v>
      </c>
      <c r="Z309" s="166">
        <f t="shared" si="128"/>
        <v>15.625000000000004</v>
      </c>
      <c r="AA309" s="166">
        <f t="shared" si="129"/>
        <v>84.375</v>
      </c>
      <c r="AB309" s="166">
        <f t="shared" si="130"/>
        <v>0</v>
      </c>
      <c r="AC309" s="33">
        <f t="shared" si="131"/>
        <v>15.625000000000004</v>
      </c>
      <c r="AD309" s="33">
        <f t="shared" si="132"/>
        <v>0</v>
      </c>
    </row>
    <row r="310" spans="17:30" x14ac:dyDescent="0.2">
      <c r="Q310" s="1" t="s">
        <v>143</v>
      </c>
      <c r="R310" s="1">
        <v>1</v>
      </c>
      <c r="S310" s="1">
        <v>3</v>
      </c>
      <c r="T310" s="1">
        <v>0</v>
      </c>
      <c r="U310" s="166">
        <f t="shared" si="123"/>
        <v>4</v>
      </c>
      <c r="V310" s="166">
        <f t="shared" si="124"/>
        <v>0</v>
      </c>
      <c r="W310" s="166">
        <f t="shared" si="125"/>
        <v>25</v>
      </c>
      <c r="X310" s="166">
        <f t="shared" si="126"/>
        <v>75</v>
      </c>
      <c r="Y310" s="166">
        <f t="shared" si="127"/>
        <v>16950</v>
      </c>
      <c r="Z310" s="166">
        <f t="shared" si="128"/>
        <v>0</v>
      </c>
      <c r="AA310" s="166">
        <f t="shared" si="129"/>
        <v>39.823008849557525</v>
      </c>
      <c r="AB310" s="166">
        <f t="shared" si="130"/>
        <v>60.176991150442483</v>
      </c>
      <c r="AC310" s="33">
        <f t="shared" si="131"/>
        <v>30.088495575221241</v>
      </c>
      <c r="AD310" s="33">
        <f t="shared" si="132"/>
        <v>52.114778761061956</v>
      </c>
    </row>
    <row r="311" spans="17:30" x14ac:dyDescent="0.2">
      <c r="Q311" s="1" t="s">
        <v>44</v>
      </c>
      <c r="R311" s="1">
        <v>1</v>
      </c>
      <c r="S311" s="1">
        <v>0</v>
      </c>
      <c r="T311" s="1">
        <v>1</v>
      </c>
      <c r="U311" s="166">
        <f t="shared" si="123"/>
        <v>2</v>
      </c>
      <c r="V311" s="166">
        <f t="shared" si="124"/>
        <v>50</v>
      </c>
      <c r="W311" s="166">
        <f t="shared" si="125"/>
        <v>50</v>
      </c>
      <c r="X311" s="166">
        <f t="shared" si="126"/>
        <v>0</v>
      </c>
      <c r="Y311" s="166">
        <f t="shared" si="127"/>
        <v>18500</v>
      </c>
      <c r="Z311" s="166">
        <f t="shared" si="128"/>
        <v>27.027027027027028</v>
      </c>
      <c r="AA311" s="166">
        <f t="shared" si="129"/>
        <v>72.972972972972968</v>
      </c>
      <c r="AB311" s="166">
        <f t="shared" si="130"/>
        <v>0</v>
      </c>
      <c r="AC311" s="33">
        <f t="shared" si="131"/>
        <v>27.027027027027028</v>
      </c>
      <c r="AD311" s="33">
        <f t="shared" si="132"/>
        <v>0</v>
      </c>
    </row>
    <row r="312" spans="17:30" x14ac:dyDescent="0.2">
      <c r="Q312" s="1" t="s">
        <v>95</v>
      </c>
      <c r="R312" s="1">
        <v>0</v>
      </c>
      <c r="S312" s="1">
        <v>0</v>
      </c>
      <c r="T312" s="1">
        <v>1</v>
      </c>
      <c r="U312" s="166">
        <f t="shared" si="123"/>
        <v>1</v>
      </c>
      <c r="V312" s="166">
        <f t="shared" si="124"/>
        <v>100</v>
      </c>
      <c r="W312" s="166">
        <f t="shared" si="125"/>
        <v>0</v>
      </c>
      <c r="X312" s="166">
        <f t="shared" si="126"/>
        <v>0</v>
      </c>
      <c r="Y312" s="166">
        <f t="shared" si="127"/>
        <v>10000</v>
      </c>
      <c r="Z312" s="166">
        <f t="shared" si="128"/>
        <v>100</v>
      </c>
      <c r="AA312" s="166">
        <f t="shared" si="129"/>
        <v>0</v>
      </c>
      <c r="AB312" s="166">
        <f t="shared" si="130"/>
        <v>0</v>
      </c>
      <c r="AC312" s="33">
        <f t="shared" si="131"/>
        <v>100</v>
      </c>
      <c r="AD312" s="33">
        <f t="shared" si="132"/>
        <v>0</v>
      </c>
    </row>
    <row r="313" spans="17:30" x14ac:dyDescent="0.2">
      <c r="Q313" s="1" t="s">
        <v>143</v>
      </c>
      <c r="R313" s="1">
        <v>1</v>
      </c>
      <c r="S313" s="1">
        <v>3</v>
      </c>
      <c r="T313" s="1">
        <v>0</v>
      </c>
      <c r="U313" s="166">
        <f t="shared" si="123"/>
        <v>4</v>
      </c>
      <c r="V313" s="166">
        <f t="shared" si="124"/>
        <v>0</v>
      </c>
      <c r="W313" s="166">
        <f t="shared" si="125"/>
        <v>25</v>
      </c>
      <c r="X313" s="166">
        <f t="shared" si="126"/>
        <v>75</v>
      </c>
      <c r="Y313" s="166">
        <f t="shared" si="127"/>
        <v>16950</v>
      </c>
      <c r="Z313" s="166">
        <f t="shared" si="128"/>
        <v>0</v>
      </c>
      <c r="AA313" s="166">
        <f t="shared" si="129"/>
        <v>39.823008849557525</v>
      </c>
      <c r="AB313" s="166">
        <f t="shared" si="130"/>
        <v>60.176991150442483</v>
      </c>
      <c r="AC313" s="33">
        <f t="shared" si="131"/>
        <v>30.088495575221241</v>
      </c>
      <c r="AD313" s="33">
        <f t="shared" si="132"/>
        <v>52.114778761061956</v>
      </c>
    </row>
    <row r="314" spans="17:30" x14ac:dyDescent="0.2">
      <c r="Q314" s="36" t="s">
        <v>144</v>
      </c>
      <c r="R314" s="1">
        <v>0</v>
      </c>
      <c r="S314" s="1">
        <v>1</v>
      </c>
      <c r="T314" s="1">
        <v>1</v>
      </c>
      <c r="U314" s="166">
        <f t="shared" si="123"/>
        <v>2</v>
      </c>
      <c r="V314" s="166">
        <f t="shared" si="124"/>
        <v>50</v>
      </c>
      <c r="W314" s="166">
        <f t="shared" si="125"/>
        <v>0</v>
      </c>
      <c r="X314" s="166">
        <f t="shared" si="126"/>
        <v>50</v>
      </c>
      <c r="Y314" s="166">
        <f t="shared" si="127"/>
        <v>11800</v>
      </c>
      <c r="Z314" s="166">
        <f t="shared" si="128"/>
        <v>42.372881355932201</v>
      </c>
      <c r="AA314" s="166">
        <f t="shared" si="129"/>
        <v>0</v>
      </c>
      <c r="AB314" s="166">
        <f t="shared" si="130"/>
        <v>57.627118644067799</v>
      </c>
      <c r="AC314" s="33">
        <f t="shared" si="131"/>
        <v>71.186440677966104</v>
      </c>
      <c r="AD314" s="33">
        <f t="shared" si="132"/>
        <v>49.906525423728816</v>
      </c>
    </row>
    <row r="315" spans="17:30" x14ac:dyDescent="0.2">
      <c r="V315" s="181">
        <f>'without thaumasite'!V22</f>
        <v>0</v>
      </c>
      <c r="W315" s="181">
        <f>'without thaumasite'!V28</f>
        <v>5.0479908685517572</v>
      </c>
      <c r="X315" s="182">
        <f>'without thaumasite'!V23</f>
        <v>4.088044230794587</v>
      </c>
      <c r="Y315" s="182">
        <f>SUM(V315:X315)</f>
        <v>9.1360350993463442</v>
      </c>
      <c r="Z315" s="183">
        <f>V315/$Y$315*100</f>
        <v>0</v>
      </c>
      <c r="AA315" s="183">
        <f>W315/$Y$315*100</f>
        <v>55.253628227773831</v>
      </c>
      <c r="AB315" s="183">
        <f>X315/$Y$315*100</f>
        <v>44.746371772226162</v>
      </c>
      <c r="AC315" s="184">
        <f>+Z315+AD315/1.73205</f>
        <v>22.373185886113081</v>
      </c>
      <c r="AD315" s="184">
        <f>+AB315*0.866025</f>
        <v>38.751476614042161</v>
      </c>
    </row>
  </sheetData>
  <sheetProtection password="C7DE" sheet="1" objects="1" scenarios="1" selectLockedCells="1"/>
  <conditionalFormatting sqref="B75:AK77">
    <cfRule type="cellIs" dxfId="129" priority="91" operator="lessThan">
      <formula>0</formula>
    </cfRule>
  </conditionalFormatting>
  <conditionalFormatting sqref="S51:S56">
    <cfRule type="cellIs" dxfId="128" priority="43" operator="lessThan">
      <formula>0</formula>
    </cfRule>
  </conditionalFormatting>
  <conditionalFormatting sqref="AH51:AH56">
    <cfRule type="cellIs" dxfId="127" priority="15" operator="lessThan">
      <formula>0</formula>
    </cfRule>
  </conditionalFormatting>
  <conditionalFormatting sqref="Y51:Y56">
    <cfRule type="cellIs" dxfId="126" priority="42" operator="lessThan">
      <formula>0</formula>
    </cfRule>
  </conditionalFormatting>
  <conditionalFormatting sqref="AE51:AE56">
    <cfRule type="cellIs" dxfId="125" priority="41" operator="lessThan">
      <formula>0</formula>
    </cfRule>
  </conditionalFormatting>
  <conditionalFormatting sqref="B64:F69 H64:L69 N64:R69 T64:X69 Z64:AD69">
    <cfRule type="cellIs" dxfId="124" priority="39" operator="lessThan">
      <formula>0</formula>
    </cfRule>
  </conditionalFormatting>
  <conditionalFormatting sqref="G64:G69">
    <cfRule type="cellIs" dxfId="123" priority="38" operator="lessThan">
      <formula>0</formula>
    </cfRule>
  </conditionalFormatting>
  <conditionalFormatting sqref="S64:S69">
    <cfRule type="cellIs" dxfId="122" priority="36" operator="lessThan">
      <formula>0</formula>
    </cfRule>
  </conditionalFormatting>
  <conditionalFormatting sqref="AL64:AL68">
    <cfRule type="cellIs" dxfId="121" priority="7" operator="lessThan">
      <formula>0</formula>
    </cfRule>
  </conditionalFormatting>
  <conditionalFormatting sqref="Y64:Y69">
    <cfRule type="cellIs" dxfId="120" priority="35" operator="lessThan">
      <formula>0</formula>
    </cfRule>
  </conditionalFormatting>
  <conditionalFormatting sqref="AE64:AE69">
    <cfRule type="cellIs" dxfId="119" priority="34" operator="lessThan">
      <formula>0</formula>
    </cfRule>
  </conditionalFormatting>
  <conditionalFormatting sqref="AT57:AW63 AS51:AS68 AM51:AM68 AK51:AK68 AI51:AI68 AG51:AG68">
    <cfRule type="cellIs" dxfId="118" priority="33" operator="lessThan">
      <formula>0</formula>
    </cfRule>
  </conditionalFormatting>
  <conditionalFormatting sqref="AT51:AW56">
    <cfRule type="cellIs" dxfId="117" priority="32" operator="lessThan">
      <formula>0</formula>
    </cfRule>
  </conditionalFormatting>
  <conditionalFormatting sqref="AP64:AP68">
    <cfRule type="cellIs" dxfId="116" priority="5" operator="lessThan">
      <formula>0</formula>
    </cfRule>
  </conditionalFormatting>
  <conditionalFormatting sqref="AP69">
    <cfRule type="cellIs" dxfId="115" priority="4" operator="lessThan">
      <formula>0</formula>
    </cfRule>
  </conditionalFormatting>
  <conditionalFormatting sqref="AR64:AR68">
    <cfRule type="cellIs" dxfId="114" priority="2" operator="lessThan">
      <formula>0</formula>
    </cfRule>
  </conditionalFormatting>
  <conditionalFormatting sqref="AT64:AW69 AW51:AW63">
    <cfRule type="cellIs" dxfId="113" priority="30" operator="lessThan">
      <formula>0</formula>
    </cfRule>
  </conditionalFormatting>
  <conditionalFormatting sqref="AO57:AR63">
    <cfRule type="cellIs" dxfId="112" priority="29" operator="lessThan">
      <formula>0</formula>
    </cfRule>
  </conditionalFormatting>
  <conditionalFormatting sqref="AO64:AO69">
    <cfRule type="cellIs" dxfId="111" priority="26" operator="lessThan">
      <formula>0</formula>
    </cfRule>
  </conditionalFormatting>
  <conditionalFormatting sqref="AN57:AN63">
    <cfRule type="cellIs" dxfId="110" priority="25" operator="lessThan">
      <formula>0</formula>
    </cfRule>
  </conditionalFormatting>
  <conditionalFormatting sqref="AL57:AL63">
    <cfRule type="cellIs" dxfId="109" priority="22" operator="lessThan">
      <formula>0</formula>
    </cfRule>
  </conditionalFormatting>
  <conditionalFormatting sqref="AL51:AL56">
    <cfRule type="cellIs" dxfId="108" priority="21" operator="lessThan">
      <formula>0</formula>
    </cfRule>
  </conditionalFormatting>
  <conditionalFormatting sqref="AL63">
    <cfRule type="cellIs" dxfId="107" priority="20" operator="greaterThan">
      <formula>0</formula>
    </cfRule>
  </conditionalFormatting>
  <conditionalFormatting sqref="AJ51:AJ56">
    <cfRule type="cellIs" dxfId="106" priority="18" operator="lessThan">
      <formula>0</formula>
    </cfRule>
  </conditionalFormatting>
  <conditionalFormatting sqref="AJ57:AJ63">
    <cfRule type="cellIs" dxfId="105" priority="19" operator="lessThan">
      <formula>0</formula>
    </cfRule>
  </conditionalFormatting>
  <conditionalFormatting sqref="AJ63">
    <cfRule type="cellIs" dxfId="104" priority="17" operator="greaterThan">
      <formula>0</formula>
    </cfRule>
  </conditionalFormatting>
  <conditionalFormatting sqref="AH57:AH63">
    <cfRule type="cellIs" dxfId="103" priority="16" operator="lessThan">
      <formula>0</formula>
    </cfRule>
  </conditionalFormatting>
  <conditionalFormatting sqref="AH63">
    <cfRule type="cellIs" dxfId="102" priority="14" operator="greaterThan">
      <formula>0</formula>
    </cfRule>
  </conditionalFormatting>
  <conditionalFormatting sqref="AF57:AF63">
    <cfRule type="cellIs" dxfId="101" priority="13" operator="lessThan">
      <formula>0</formula>
    </cfRule>
  </conditionalFormatting>
  <conditionalFormatting sqref="AF51:AF56">
    <cfRule type="cellIs" dxfId="100" priority="12" operator="lessThan">
      <formula>0</formula>
    </cfRule>
  </conditionalFormatting>
  <conditionalFormatting sqref="AF63">
    <cfRule type="cellIs" dxfId="99" priority="11" operator="greaterThan">
      <formula>0</formula>
    </cfRule>
  </conditionalFormatting>
  <conditionalFormatting sqref="AF64:AF68">
    <cfRule type="cellIs" dxfId="98" priority="10" operator="lessThan">
      <formula>0</formula>
    </cfRule>
  </conditionalFormatting>
  <conditionalFormatting sqref="AH64:AH68">
    <cfRule type="cellIs" dxfId="97" priority="9" operator="lessThan">
      <formula>0</formula>
    </cfRule>
  </conditionalFormatting>
  <conditionalFormatting sqref="AN64:AN68">
    <cfRule type="cellIs" dxfId="96" priority="6" operator="lessThan">
      <formula>0</formula>
    </cfRule>
  </conditionalFormatting>
  <conditionalFormatting sqref="AQ64:AQ68">
    <cfRule type="cellIs" dxfId="95" priority="3" operator="lessThan">
      <formula>0</formula>
    </cfRule>
  </conditionalFormatting>
  <conditionalFormatting sqref="J16">
    <cfRule type="cellIs" dxfId="94" priority="48" operator="lessThan">
      <formula>0.5</formula>
    </cfRule>
  </conditionalFormatting>
  <conditionalFormatting sqref="B57:Y62 B51:F56 H51:L56 N51:R56 T51:X56 Z51:AD56 B63:AE63 AF69:AN69 AS69">
    <cfRule type="cellIs" dxfId="93" priority="47" operator="lessThan">
      <formula>0</formula>
    </cfRule>
  </conditionalFormatting>
  <conditionalFormatting sqref="Z57:AE62">
    <cfRule type="cellIs" dxfId="92" priority="46" operator="lessThan">
      <formula>0</formula>
    </cfRule>
  </conditionalFormatting>
  <conditionalFormatting sqref="G51:G56">
    <cfRule type="cellIs" dxfId="91" priority="45" operator="lessThan">
      <formula>0</formula>
    </cfRule>
  </conditionalFormatting>
  <conditionalFormatting sqref="M51:M56">
    <cfRule type="cellIs" dxfId="90" priority="44" operator="lessThan">
      <formula>0</formula>
    </cfRule>
  </conditionalFormatting>
  <conditionalFormatting sqref="B63:AE63">
    <cfRule type="cellIs" dxfId="89" priority="40" operator="greaterThan">
      <formula>0</formula>
    </cfRule>
  </conditionalFormatting>
  <conditionalFormatting sqref="M64:M69">
    <cfRule type="cellIs" dxfId="88" priority="37" operator="lessThan">
      <formula>0</formula>
    </cfRule>
  </conditionalFormatting>
  <conditionalFormatting sqref="AJ64:AJ68">
    <cfRule type="cellIs" dxfId="87" priority="8" operator="lessThan">
      <formula>0</formula>
    </cfRule>
  </conditionalFormatting>
  <conditionalFormatting sqref="AS63:AW63 AM63 AK63 AI63 AG63">
    <cfRule type="cellIs" dxfId="86" priority="31" operator="greaterThan">
      <formula>0</formula>
    </cfRule>
  </conditionalFormatting>
  <conditionalFormatting sqref="AO51:AR56">
    <cfRule type="cellIs" dxfId="85" priority="28" operator="lessThan">
      <formula>0</formula>
    </cfRule>
  </conditionalFormatting>
  <conditionalFormatting sqref="AO63:AR63">
    <cfRule type="cellIs" dxfId="84" priority="27" operator="greaterThan">
      <formula>0</formula>
    </cfRule>
  </conditionalFormatting>
  <conditionalFormatting sqref="AN51:AN56">
    <cfRule type="cellIs" dxfId="83" priority="24" operator="lessThan">
      <formula>0</formula>
    </cfRule>
  </conditionalFormatting>
  <conditionalFormatting sqref="AN63">
    <cfRule type="cellIs" dxfId="82" priority="23" operator="greaterThan">
      <formula>0</formula>
    </cfRule>
  </conditionalFormatting>
  <conditionalFormatting sqref="AQ69:AR69">
    <cfRule type="cellIs" dxfId="81" priority="1" operator="lessThan">
      <formula>0</formula>
    </cfRule>
  </conditionalFormatting>
  <pageMargins left="0.25" right="0.25" top="0.75" bottom="0.75" header="0.3" footer="0.3"/>
  <pageSetup paperSize="9" scale="78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T331"/>
  <sheetViews>
    <sheetView topLeftCell="A7" zoomScale="90" zoomScaleNormal="90" zoomScaleSheetLayoutView="110" workbookViewId="0">
      <selection activeCell="F14" sqref="F14"/>
    </sheetView>
  </sheetViews>
  <sheetFormatPr baseColWidth="10" defaultColWidth="9.140625" defaultRowHeight="12.75" outlineLevelRow="1" outlineLevelCol="1" x14ac:dyDescent="0.2"/>
  <cols>
    <col min="1" max="1" width="9.140625" style="1" customWidth="1"/>
    <col min="2" max="2" width="12.7109375" style="1" bestFit="1" customWidth="1"/>
    <col min="3" max="3" width="13.5703125" style="1" customWidth="1"/>
    <col min="4" max="4" width="14.42578125" style="1" bestFit="1" customWidth="1"/>
    <col min="5" max="5" width="12.85546875" style="1" bestFit="1" customWidth="1"/>
    <col min="6" max="6" width="11.28515625" style="1" customWidth="1"/>
    <col min="7" max="7" width="13.85546875" style="1" customWidth="1"/>
    <col min="8" max="8" width="11.5703125" style="1" customWidth="1"/>
    <col min="9" max="9" width="15.140625" style="1" customWidth="1"/>
    <col min="10" max="10" width="13" style="1" customWidth="1"/>
    <col min="11" max="11" width="15" style="1" customWidth="1"/>
    <col min="12" max="12" width="9.140625" style="1" customWidth="1"/>
    <col min="13" max="13" width="11.42578125" style="1" customWidth="1"/>
    <col min="14" max="14" width="9.140625" style="1" customWidth="1"/>
    <col min="15" max="15" width="13.7109375" style="1" customWidth="1"/>
    <col min="16" max="17" width="9.140625" style="1" hidden="1" customWidth="1" outlineLevel="1"/>
    <col min="18" max="18" width="11" style="1" hidden="1" customWidth="1" outlineLevel="1"/>
    <col min="19" max="21" width="9.140625" style="1" hidden="1" customWidth="1" outlineLevel="1"/>
    <col min="22" max="22" width="10.140625" style="1" hidden="1" customWidth="1" outlineLevel="1"/>
    <col min="23" max="28" width="9.140625" style="1" hidden="1" customWidth="1" outlineLevel="1"/>
    <col min="29" max="29" width="9.140625" style="1" customWidth="1" collapsed="1"/>
    <col min="30" max="30" width="12.140625" style="1" customWidth="1"/>
    <col min="31" max="31" width="9.140625" style="1" customWidth="1"/>
    <col min="32" max="32" width="10.5703125" style="1" customWidth="1"/>
    <col min="33" max="33" width="9.28515625" style="1" bestFit="1" customWidth="1"/>
    <col min="34" max="34" width="9.85546875" style="1" bestFit="1" customWidth="1"/>
    <col min="35" max="38" width="9.28515625" style="1" bestFit="1" customWidth="1"/>
    <col min="39" max="39" width="10.42578125" style="1" customWidth="1"/>
    <col min="40" max="40" width="9.28515625" style="1" bestFit="1" customWidth="1"/>
    <col min="41" max="41" width="9.140625" style="1"/>
    <col min="42" max="42" width="9.85546875" style="1" bestFit="1" customWidth="1"/>
    <col min="43" max="43" width="10.7109375" style="1" customWidth="1"/>
    <col min="44" max="44" width="9.42578125" style="1" customWidth="1"/>
    <col min="45" max="45" width="9.28515625" style="1" bestFit="1" customWidth="1"/>
    <col min="46" max="46" width="9.140625" style="1" customWidth="1"/>
    <col min="47" max="51" width="9.140625" style="1"/>
    <col min="52" max="52" width="11.7109375" style="1" customWidth="1"/>
    <col min="53" max="53" width="9.140625" style="1"/>
    <col min="54" max="54" width="11.42578125" style="1" customWidth="1"/>
    <col min="55" max="59" width="9.140625" style="1"/>
    <col min="60" max="60" width="11" style="1" customWidth="1"/>
    <col min="61" max="16384" width="9.140625" style="1"/>
  </cols>
  <sheetData>
    <row r="1" spans="1:28" ht="17.25" x14ac:dyDescent="0.2">
      <c r="E1" s="2" t="s">
        <v>0</v>
      </c>
      <c r="F1" s="3" t="str">
        <f>F17</f>
        <v>OPC</v>
      </c>
      <c r="G1" s="3" t="str">
        <f>G17</f>
        <v>limestone</v>
      </c>
      <c r="H1" s="3" t="str">
        <f>H17</f>
        <v>CaSO4</v>
      </c>
      <c r="I1" s="3" t="str">
        <f>I17</f>
        <v>MgSO4</v>
      </c>
      <c r="J1" s="4" t="str">
        <f>J17</f>
        <v>slag</v>
      </c>
    </row>
    <row r="2" spans="1:28" x14ac:dyDescent="0.2">
      <c r="E2" s="5" t="s">
        <v>1</v>
      </c>
      <c r="F2" s="6" t="s">
        <v>2</v>
      </c>
      <c r="G2" s="6" t="s">
        <v>2</v>
      </c>
      <c r="H2" s="6" t="s">
        <v>2</v>
      </c>
      <c r="I2" s="6" t="s">
        <v>2</v>
      </c>
      <c r="J2" s="7" t="s">
        <v>2</v>
      </c>
    </row>
    <row r="3" spans="1:28" ht="14.25" x14ac:dyDescent="0.25">
      <c r="E3" s="8" t="s">
        <v>3</v>
      </c>
      <c r="F3" s="9">
        <v>21.17</v>
      </c>
      <c r="G3" s="9">
        <v>10.93</v>
      </c>
      <c r="H3" s="9">
        <v>0</v>
      </c>
      <c r="I3" s="9">
        <v>0</v>
      </c>
      <c r="J3" s="10">
        <v>38</v>
      </c>
      <c r="U3" s="11" t="s">
        <v>4</v>
      </c>
      <c r="V3" s="12"/>
      <c r="W3" s="13" t="s">
        <v>5</v>
      </c>
      <c r="X3" s="12"/>
      <c r="Y3" s="14"/>
    </row>
    <row r="4" spans="1:28" x14ac:dyDescent="0.2">
      <c r="E4" s="8" t="s">
        <v>6</v>
      </c>
      <c r="F4" s="15">
        <v>5.07</v>
      </c>
      <c r="G4" s="15">
        <v>3.01</v>
      </c>
      <c r="H4" s="15">
        <v>0</v>
      </c>
      <c r="I4" s="15">
        <v>0</v>
      </c>
      <c r="J4" s="10">
        <v>14.1</v>
      </c>
      <c r="U4" s="8"/>
      <c r="V4" s="16" t="s">
        <v>7</v>
      </c>
      <c r="W4" s="16"/>
      <c r="X4" s="16" t="s">
        <v>8</v>
      </c>
      <c r="Y4" s="17" t="s">
        <v>9</v>
      </c>
      <c r="Z4" s="16" t="s">
        <v>10</v>
      </c>
      <c r="AA4" s="16" t="s">
        <v>11</v>
      </c>
    </row>
    <row r="5" spans="1:28" x14ac:dyDescent="0.2">
      <c r="E5" s="18" t="s">
        <v>12</v>
      </c>
      <c r="F5" s="20">
        <v>3.87</v>
      </c>
      <c r="G5" s="20">
        <v>0</v>
      </c>
      <c r="H5" s="21">
        <v>0</v>
      </c>
      <c r="I5" s="21">
        <v>0</v>
      </c>
      <c r="J5" s="22">
        <v>1</v>
      </c>
      <c r="U5" s="23" t="s">
        <v>3</v>
      </c>
      <c r="V5" s="24">
        <f>(F3*F$14*F$18+G3*G$14*G$18+H3*H$14*H$18+I3*I$14*I$18+J3*J$14*J$18)/100</f>
        <v>10.212442857142856</v>
      </c>
      <c r="W5" s="16" t="s">
        <v>13</v>
      </c>
      <c r="X5" s="25">
        <f>V8-V12*(mCa+mO)/(mC+2*mO)-V13*(mCa+mO)/(mS+3*mO)</f>
        <v>24.714581739610896</v>
      </c>
      <c r="Y5" s="17">
        <f>X5/$X$16*100</f>
        <v>14.656598086521544</v>
      </c>
      <c r="Z5" s="1">
        <f>Y5/(mCa+mO)</f>
        <v>0.26136372382673845</v>
      </c>
    </row>
    <row r="6" spans="1:28" x14ac:dyDescent="0.2">
      <c r="E6" s="8" t="s">
        <v>13</v>
      </c>
      <c r="F6" s="15">
        <v>64.13</v>
      </c>
      <c r="G6" s="15">
        <v>46.64</v>
      </c>
      <c r="H6" s="9">
        <v>41.19</v>
      </c>
      <c r="I6" s="9">
        <v>0</v>
      </c>
      <c r="J6" s="10">
        <v>36</v>
      </c>
      <c r="U6" s="23" t="s">
        <v>6</v>
      </c>
      <c r="V6" s="24">
        <f t="shared" ref="V6:V12" si="0">(F4*F$14*F$18+G4*G$14*G$18+H4*H$14*H$18+I4*I$14*I$18+J4*J$14*J$18)/100</f>
        <v>2.5121999999999995</v>
      </c>
      <c r="W6" s="16" t="s">
        <v>3</v>
      </c>
      <c r="X6" s="25">
        <f>V5</f>
        <v>10.212442857142856</v>
      </c>
      <c r="Y6" s="17">
        <f>X6/$X$16*100</f>
        <v>6.0563303079822681</v>
      </c>
      <c r="Z6" s="1">
        <f>Y6/(mSi+2*mO)</f>
        <v>0.10079721837455488</v>
      </c>
    </row>
    <row r="7" spans="1:28" x14ac:dyDescent="0.2">
      <c r="E7" s="18" t="s">
        <v>14</v>
      </c>
      <c r="F7" s="20">
        <v>0.89</v>
      </c>
      <c r="G7" s="20">
        <v>0</v>
      </c>
      <c r="H7" s="21">
        <v>0</v>
      </c>
      <c r="I7" s="21">
        <v>33.479999999999997</v>
      </c>
      <c r="J7" s="26">
        <v>6.6</v>
      </c>
      <c r="U7" s="23" t="s">
        <v>12</v>
      </c>
      <c r="V7" s="24">
        <f t="shared" si="0"/>
        <v>1.5286499999999998</v>
      </c>
      <c r="W7" s="16" t="s">
        <v>6</v>
      </c>
      <c r="X7" s="25">
        <f>V6</f>
        <v>2.5121999999999995</v>
      </c>
      <c r="Y7" s="17">
        <f>X7/$X$16*100</f>
        <v>1.4898211145506164</v>
      </c>
      <c r="Z7" s="1">
        <f>Y7/(2*mAl+3*mO)</f>
        <v>1.4611636336596493E-2</v>
      </c>
      <c r="AA7" s="27">
        <f>(IF(Z7-Z13/4&gt;0,(Z7-Z13/4)*(2*mAl+3*mO),0))</f>
        <v>1.3579681694530223</v>
      </c>
      <c r="AB7" s="28" t="s">
        <v>15</v>
      </c>
    </row>
    <row r="8" spans="1:28" x14ac:dyDescent="0.2">
      <c r="E8" s="29" t="s">
        <v>16</v>
      </c>
      <c r="F8" s="20">
        <v>0.25</v>
      </c>
      <c r="G8" s="20">
        <v>0.11</v>
      </c>
      <c r="H8" s="20">
        <v>0</v>
      </c>
      <c r="I8" s="20">
        <v>0</v>
      </c>
      <c r="J8" s="30">
        <v>0.5</v>
      </c>
      <c r="U8" s="23" t="s">
        <v>13</v>
      </c>
      <c r="V8" s="24">
        <f t="shared" si="0"/>
        <v>51.173907142857132</v>
      </c>
      <c r="W8" s="16" t="s">
        <v>17</v>
      </c>
      <c r="X8" s="25">
        <f>V12/(mC+2*mO)*(mCa+mC+3*mO)</f>
        <v>13.690244594613018</v>
      </c>
      <c r="Y8" s="17">
        <f>X8/$X$16*100</f>
        <v>8.118786506017404</v>
      </c>
    </row>
    <row r="9" spans="1:28" x14ac:dyDescent="0.2">
      <c r="E9" s="29" t="s">
        <v>18</v>
      </c>
      <c r="F9" s="20">
        <v>0.61</v>
      </c>
      <c r="G9" s="20">
        <v>0.25</v>
      </c>
      <c r="H9" s="20">
        <v>0</v>
      </c>
      <c r="I9" s="20">
        <v>0</v>
      </c>
      <c r="J9" s="30">
        <v>0.6</v>
      </c>
      <c r="P9" s="31"/>
      <c r="U9" s="23" t="s">
        <v>14</v>
      </c>
      <c r="V9" s="24">
        <f t="shared" si="0"/>
        <v>0.35154999999999992</v>
      </c>
      <c r="W9" s="16" t="s">
        <v>19</v>
      </c>
      <c r="X9" s="25">
        <f>V13/(mS+3*mO)*(mCa+mS+4*mO)</f>
        <v>45.614602237204657</v>
      </c>
      <c r="Y9" s="17">
        <f>X9/$X$16*100</f>
        <v>27.051029991567273</v>
      </c>
    </row>
    <row r="10" spans="1:28" x14ac:dyDescent="0.2">
      <c r="E10" s="8" t="s">
        <v>20</v>
      </c>
      <c r="F10" s="15">
        <v>0</v>
      </c>
      <c r="G10" s="15">
        <v>35.56</v>
      </c>
      <c r="H10" s="15">
        <v>0</v>
      </c>
      <c r="I10" s="15">
        <v>0</v>
      </c>
      <c r="J10" s="32"/>
      <c r="P10" s="31"/>
      <c r="U10" s="23" t="s">
        <v>16</v>
      </c>
      <c r="V10" s="24">
        <f t="shared" si="0"/>
        <v>0.11737142857142854</v>
      </c>
      <c r="W10" s="16" t="s">
        <v>21</v>
      </c>
      <c r="X10" s="25">
        <f>J16*100</f>
        <v>70</v>
      </c>
      <c r="Y10" s="17">
        <f>X10/$X$16*100-Z12*18-(Z13-Z14)/4*10*18-Z14*18</f>
        <v>41.177458050570117</v>
      </c>
    </row>
    <row r="11" spans="1:28" x14ac:dyDescent="0.2">
      <c r="E11" s="8" t="s">
        <v>22</v>
      </c>
      <c r="F11" s="15">
        <v>2.93</v>
      </c>
      <c r="G11" s="15">
        <v>0.26</v>
      </c>
      <c r="H11" s="15">
        <v>58.81</v>
      </c>
      <c r="I11" s="15">
        <v>66.52</v>
      </c>
      <c r="J11" s="30">
        <v>2</v>
      </c>
      <c r="K11" s="33" t="s">
        <v>23</v>
      </c>
      <c r="P11" s="31"/>
      <c r="U11" s="23" t="s">
        <v>18</v>
      </c>
      <c r="V11" s="24">
        <f t="shared" si="0"/>
        <v>0.28327142857142851</v>
      </c>
      <c r="W11" s="16" t="s">
        <v>16</v>
      </c>
      <c r="X11" s="25">
        <f>V10+V11/(2*mK+mO)*(mNa*2+mO)</f>
        <v>0.25486374800263756</v>
      </c>
      <c r="Y11" s="17"/>
    </row>
    <row r="12" spans="1:28" ht="14.25" x14ac:dyDescent="0.25">
      <c r="E12" s="8" t="s">
        <v>24</v>
      </c>
      <c r="F12" s="34">
        <f>100-F13</f>
        <v>1.0799999999999983</v>
      </c>
      <c r="G12" s="34">
        <f>100-G13</f>
        <v>3.2399999999999949</v>
      </c>
      <c r="H12" s="34">
        <f>100-H13</f>
        <v>0</v>
      </c>
      <c r="I12" s="34">
        <f>100-I13</f>
        <v>0</v>
      </c>
      <c r="J12" s="35">
        <f>100-J13</f>
        <v>1.2000000000000171</v>
      </c>
      <c r="N12" s="36"/>
      <c r="P12" s="31"/>
      <c r="U12" s="23" t="s">
        <v>20</v>
      </c>
      <c r="V12" s="24">
        <f t="shared" si="0"/>
        <v>6.0198</v>
      </c>
      <c r="W12" s="37" t="s">
        <v>12</v>
      </c>
      <c r="X12" s="38">
        <f>V7</f>
        <v>1.5286499999999998</v>
      </c>
      <c r="Y12" s="17">
        <f>X12/$X$16*100</f>
        <v>0.90654209328787516</v>
      </c>
      <c r="Z12" s="1">
        <f>Y12/(2*mFe+3*mO)</f>
        <v>5.6768088440629855E-3</v>
      </c>
      <c r="AA12" s="27">
        <f>Z12*2*(mFe+2*mO+mH)</f>
        <v>1.0088113941201462</v>
      </c>
      <c r="AB12" s="1" t="s">
        <v>25</v>
      </c>
    </row>
    <row r="13" spans="1:28" ht="15" thickBot="1" x14ac:dyDescent="0.3">
      <c r="E13" s="8" t="s">
        <v>26</v>
      </c>
      <c r="F13" s="39">
        <f>SUM(F3:F11)</f>
        <v>98.92</v>
      </c>
      <c r="G13" s="39">
        <f>SUM(G3:G11)</f>
        <v>96.76</v>
      </c>
      <c r="H13" s="39">
        <f>SUM(H3:H11)</f>
        <v>100</v>
      </c>
      <c r="I13" s="39">
        <f>SUM(I3:I11)</f>
        <v>100</v>
      </c>
      <c r="J13" s="40">
        <f>SUM(J3:J11)</f>
        <v>98.799999999999983</v>
      </c>
      <c r="N13" s="36"/>
      <c r="P13" s="31"/>
      <c r="U13" s="23" t="s">
        <v>22</v>
      </c>
      <c r="V13" s="24">
        <f>(F11*F$14*F$18+G11*G$14*G$18+H11*H$14*H$18+I11*I$14*I$18)/100</f>
        <v>26.825721428571434</v>
      </c>
      <c r="W13" s="37" t="s">
        <v>14</v>
      </c>
      <c r="X13" s="38">
        <f>V9</f>
        <v>0.35154999999999992</v>
      </c>
      <c r="Y13" s="17">
        <f>X13/$X$16*100</f>
        <v>0.2084812565959196</v>
      </c>
      <c r="Z13" s="1">
        <f>Y13/(mMg+mO)</f>
        <v>5.1726674158632706E-3</v>
      </c>
      <c r="AA13" s="27">
        <f>(IF(Z7-Z13/4&gt;0,Z13/4*(2*mAl+4*mMg+7*mO+10*(2*mH+mO)),Z7*(2*mAl+4*mMg+7*mO+10*(2*mH+mO))))</f>
        <v>0.57330183130264689</v>
      </c>
      <c r="AB13" s="36" t="s">
        <v>51</v>
      </c>
    </row>
    <row r="14" spans="1:28" ht="14.25" x14ac:dyDescent="0.25">
      <c r="A14" s="41" t="s">
        <v>146</v>
      </c>
      <c r="B14" s="42"/>
      <c r="E14" s="43" t="s">
        <v>28</v>
      </c>
      <c r="F14" s="44">
        <v>1</v>
      </c>
      <c r="G14" s="44">
        <v>1</v>
      </c>
      <c r="H14" s="44">
        <v>1</v>
      </c>
      <c r="I14" s="44">
        <v>1</v>
      </c>
      <c r="J14" s="45">
        <v>0.7</v>
      </c>
      <c r="N14" s="36"/>
      <c r="P14" s="31"/>
      <c r="U14" s="23" t="s">
        <v>24</v>
      </c>
      <c r="V14" s="24">
        <f>(F12*F$14*F$18+G12*G$14*G$18+H12*H$14*H$18+I12*I$14*I$18+J12*J$14*J$18+J11*J$14*J$18)/100</f>
        <v>0.97508571428571256</v>
      </c>
      <c r="W14" s="37" t="s">
        <v>24</v>
      </c>
      <c r="X14" s="38">
        <f>V14</f>
        <v>0.97508571428571256</v>
      </c>
      <c r="Y14" s="17"/>
      <c r="Z14" s="1">
        <f>(IF(Z7-Z13/4&gt;0,0,Z13-4*Z7))</f>
        <v>0</v>
      </c>
      <c r="AA14" s="46">
        <f>Z14*(mMg+2*mO+2*mH)</f>
        <v>0</v>
      </c>
      <c r="AB14" s="36" t="s">
        <v>29</v>
      </c>
    </row>
    <row r="15" spans="1:28" x14ac:dyDescent="0.2">
      <c r="A15" s="47" t="s">
        <v>30</v>
      </c>
      <c r="B15" s="48"/>
      <c r="E15" s="8" t="s">
        <v>31</v>
      </c>
      <c r="F15" s="49">
        <v>3150</v>
      </c>
      <c r="G15" s="49">
        <v>2740</v>
      </c>
      <c r="H15" s="49">
        <v>2650</v>
      </c>
      <c r="I15" s="49">
        <v>2490</v>
      </c>
      <c r="J15" s="186">
        <v>2880</v>
      </c>
      <c r="N15" s="36"/>
      <c r="P15" s="31"/>
      <c r="U15" s="23" t="s">
        <v>21</v>
      </c>
      <c r="V15" s="24">
        <f>J16*SUM(F18:I18)</f>
        <v>70</v>
      </c>
      <c r="W15" s="16" t="s">
        <v>32</v>
      </c>
      <c r="X15" s="25">
        <f>X5+X6+X7+X8+X9+X13+X12</f>
        <v>98.624271428571433</v>
      </c>
      <c r="Y15" s="17">
        <f>X15/$X$16*100</f>
        <v>58.487589356522903</v>
      </c>
      <c r="AA15" s="50">
        <f>(IF(Z7-Z13/4&gt;0,Z13/4*(2*mAl+4*mMg+7*mO+0*(2*mH+mO)),Z7*(2*mAl+4*mMg+7*mO+0*(2*mH+mO))))</f>
        <v>0.34033420169351375</v>
      </c>
      <c r="AB15" s="50">
        <f>AA7+AA15-Y7-Y13+AA14/(mMg+2*mO+2*mH)*(mMg+mO)</f>
        <v>1.6653345369377348E-16</v>
      </c>
    </row>
    <row r="16" spans="1:28" ht="18" thickBot="1" x14ac:dyDescent="0.25">
      <c r="A16" s="51" t="s">
        <v>33</v>
      </c>
      <c r="B16" s="52"/>
      <c r="E16" s="43"/>
      <c r="F16" s="53"/>
      <c r="G16" s="54"/>
      <c r="I16" s="55" t="s">
        <v>34</v>
      </c>
      <c r="J16" s="187">
        <v>0.7</v>
      </c>
      <c r="N16" s="36"/>
      <c r="P16" s="31"/>
      <c r="U16" s="57"/>
      <c r="V16" s="58"/>
      <c r="W16" s="58"/>
      <c r="X16" s="59">
        <f>SUM(X5:X10,X12:X13)</f>
        <v>168.62427142857143</v>
      </c>
      <c r="Y16" s="60">
        <f>SUM(Y5:Y13)</f>
        <v>99.665047407092999</v>
      </c>
    </row>
    <row r="17" spans="5:28" ht="14.25" x14ac:dyDescent="0.25">
      <c r="E17" s="61" t="s">
        <v>35</v>
      </c>
      <c r="F17" s="62" t="s">
        <v>36</v>
      </c>
      <c r="G17" s="62" t="s">
        <v>37</v>
      </c>
      <c r="H17" s="194" t="s">
        <v>19</v>
      </c>
      <c r="I17" s="194" t="s">
        <v>150</v>
      </c>
      <c r="J17" s="40" t="s">
        <v>39</v>
      </c>
      <c r="N17" s="36"/>
      <c r="P17" s="31"/>
    </row>
    <row r="18" spans="5:28" ht="13.5" thickBot="1" x14ac:dyDescent="0.25">
      <c r="E18" s="63" t="s">
        <v>8</v>
      </c>
      <c r="F18" s="195">
        <v>39.499999999999993</v>
      </c>
      <c r="G18" s="195">
        <v>16.928571428571427</v>
      </c>
      <c r="H18" s="195">
        <v>43.571428571428577</v>
      </c>
      <c r="I18" s="64">
        <v>0</v>
      </c>
      <c r="J18" s="65">
        <v>0</v>
      </c>
      <c r="N18" s="36"/>
      <c r="P18" s="31"/>
    </row>
    <row r="19" spans="5:28" ht="13.5" thickBot="1" x14ac:dyDescent="0.25">
      <c r="N19" s="36"/>
      <c r="P19" s="31"/>
      <c r="Q19" s="66"/>
      <c r="R19" s="67" t="s">
        <v>40</v>
      </c>
      <c r="S19" s="42"/>
      <c r="U19" s="68" t="s">
        <v>13</v>
      </c>
      <c r="V19" s="69">
        <f>'with thaumasite'!Y5</f>
        <v>14.656598086521544</v>
      </c>
      <c r="X19" s="70"/>
      <c r="Y19" s="70" t="s">
        <v>41</v>
      </c>
      <c r="AA19" s="71" t="str">
        <f t="shared" ref="AA19:AA24" si="1">R21</f>
        <v>water</v>
      </c>
      <c r="AB19" s="72">
        <f t="shared" ref="AB19:AB21" si="2">IF(R21="ettringite",S21*Y$22,IF(R21="monocarbonate",S21*Y$21,IF(R21="Hemicarbonate",S21*Y$20,IF(R21="monosulphate",S21*Y$23,IF(R21="hemisulphate",S21*Y$24,IF(R21="OH-AFm",S21*Y$25,IF(R21="hydrogarnet",S21*Y$26,0)))))))</f>
        <v>0</v>
      </c>
    </row>
    <row r="20" spans="5:28" x14ac:dyDescent="0.2">
      <c r="L20" s="73"/>
      <c r="M20" s="74" t="str">
        <f>R19</f>
        <v>output: hydrates</v>
      </c>
      <c r="N20" s="75"/>
      <c r="O20" s="76"/>
      <c r="Q20" s="47"/>
      <c r="R20" s="77"/>
      <c r="S20" s="78" t="s">
        <v>42</v>
      </c>
      <c r="U20" s="68" t="s">
        <v>3</v>
      </c>
      <c r="V20" s="69">
        <f>'with thaumasite'!Y6</f>
        <v>6.0563303079822681</v>
      </c>
      <c r="X20" s="70" t="s">
        <v>43</v>
      </c>
      <c r="Y20" s="70">
        <f>(3*mCa +2*mAl+6*mO)/(4*mCa+7*mO +2*mAl+0.5*mC+1*mO+12*(2*mH+mO))</f>
        <v>0.47867677181620905</v>
      </c>
      <c r="AA20" s="71" t="str">
        <f t="shared" si="1"/>
        <v>portlandite</v>
      </c>
      <c r="AB20" s="72">
        <f t="shared" si="2"/>
        <v>0</v>
      </c>
    </row>
    <row r="21" spans="5:28" x14ac:dyDescent="0.2">
      <c r="L21" s="79"/>
      <c r="M21" s="80"/>
      <c r="N21" s="81" t="str">
        <f t="shared" ref="N21:N27" si="3">S20</f>
        <v>g/100 g hydrated binder</v>
      </c>
      <c r="O21" s="82"/>
      <c r="Q21" s="47"/>
      <c r="R21" s="83" t="str">
        <f>IF(I$63=1,I51,IF(J$63=1,J51,IF(K$63=1,K51,IF(L$63=1,L51,IF(M$63=1,M51,IF(N$63=1,N51,IF(O$63=1,O51,IF(B$63=1,B51,IF(C$63=1,C51,IF(D$63=1,D51,IF(E$63=1,E51,IF(F$63=1,F51,IF(G$63=1,G51,IF(H$63=1,H51,IF(P$63=1,P51,IF(Q$63=1,Q51,IF(R$63=1,R51,IF(S$63=1,S51,IF(T$63=1,T51,IF(U$63=1,U51,IF(V$63=1,V51,IF(W$63=1,W51,IF(X$63=1,X51,IF(Y$63=1,Y51,IF(Z$63=1,Z51,IF(AA$63=1,AA51,IF(AB$63=1,AB51,IF(AC$63=1,AC51,IF(AD$63=1,AD51,IF(AE$63=1,AE51,IF(AF$63=1,AF51,IF(AG$63=1,AG51,IF(AH$63=1,AH51,IF(AI$63=1,AI51,IF(AJ$63=1,AJ51,IF(AK$63=1,AK51,IF(AL$63=1,AL51,IF(AM$63=1,AM51,IF(AN$63=1,AN51,IF(AO$63=1,AO51,IF(AP$63=1,AP51,IF(AQ$63=1,AQ51,IF(AR$63=1,AR51,IF(AS$63=1,AS51,IF(AT$63=1,AT51,IF(AU$63=1,AU51,IF(AV$63=1,AV51,IF(AW$63=1,AW51,IF(AX$63=1,AX51,IF(AY$63=1,AY51,IF(AZ$63=1,AZ51,IF(BA$63=1,BA51,IF(BB$63=1,BB51,IF(BC$63=1,BC51,IF(BD$63=1,BD51,IF(BE$63=1,BE51,IF(BF$63=1,BF51,IF(BG$63=1,BG51,IF(BH$63=1,BH51,IF(BI$63=1,BI51,IF(BJ$63=1,BJ51,IF(BK$63=1,BK51,"?"))))))))))))))))))))))))))))))))))))))))))))))))))))))))))))))</f>
        <v>water</v>
      </c>
      <c r="S21" s="84">
        <f>IF(I$63=1,I57,IF(J$63=1,J57,IF(K$63=1,K57,IF(L$63=1,L57,IF(M$63=1,M57,IF(N$63=1,N57,IF(O$63=1,O57,IF(B$63=1,B57,IF(C$63=1,C57,IF(D$63=1,D57,IF(E$63=1,E57,IF(F$63=1,F57,IF(G$63=1,G57,IF(H$63=1,H57,IF(P$63=1,P57,IF(Q$63=1,Q57,IF(R$63=1,R57,IF(S$63=1,S57,IF(T$63=1,T57,IF(U$63=1,U57,IF(V$63=1,V57,IF(W$63=1,W57,IF(X$63=1,X57,IF(Y$63=1,Y57,IF(Z$63=1,Z57,IF(AA$63=1,AA57,IF(AB$63=1,AB57,IF(AC$63=1,AC57,IF(AD$63=1,AD57,IF(AE$63=1,AE57,IF(AF$63=1,AF57,IF(AG$63=1,AG57,IF(AH$63=1,AH57,IF(AI$63=1,AI57,IF(AJ$63=1,AJ57,IF(AK$63=1,AK57,IF(AL$63=1,AL57,IF(AM$63=1,AM57,IF(AN$63=1,AN57,IF(AO$63=1,AO57,IF(AP$63=1,AP57,IF(AQ$63=1,AQ57,IF(AR$63=1,AR57,IF(AS$63=1,AS57,IF(AT$63=1,AT57,IF(AU$63=1,AU57,IF(AV$63=1,AV57,IF(AW$63=1,AW57,IF(AX$63=1,AX57,IF(AY$63=1,AY57,IF(AZ$63=1,AZ57,IF(BA$63=1,BA57,IF(BB$63=1,BB57,IF(BC$63=1,BC57,IF(BD$63=1,BD57,IF(BE$63=1,BE57,IF(BF$63=1,BF57,IF(BG$63=1,BG57,IF(BH$63=1,BH57,IF(BI$63=1,BI57,IF(BJ$63=1,BJ57,IF(BK$63=1,BK57,"?"))))))))))))))))))))))))))))))))))))))))))))))))))))))))))))))</f>
        <v>5.4573050092502271</v>
      </c>
      <c r="U21" s="68" t="s">
        <v>6</v>
      </c>
      <c r="V21" s="69">
        <f>'with thaumasite'!AA7</f>
        <v>1.3579681694530223</v>
      </c>
      <c r="X21" s="70" t="s">
        <v>44</v>
      </c>
      <c r="Y21" s="70">
        <f>(3*mCa +2*mAl+6*mO)/(4*mCa+7*mO +2*mAl+mC+2*mO+11*(2*mH+mO))</f>
        <v>0.47531721056201159</v>
      </c>
      <c r="AA21" s="71" t="str">
        <f t="shared" si="1"/>
        <v>C1.75SH4.4</v>
      </c>
      <c r="AB21" s="72">
        <f t="shared" si="2"/>
        <v>0</v>
      </c>
    </row>
    <row r="22" spans="5:28" x14ac:dyDescent="0.2">
      <c r="L22" s="79"/>
      <c r="M22" s="85" t="str">
        <f t="shared" ref="M22:M27" si="4">R21</f>
        <v>water</v>
      </c>
      <c r="N22" s="86">
        <f t="shared" si="3"/>
        <v>5.4573050092502271</v>
      </c>
      <c r="O22" s="82"/>
      <c r="Q22" s="47"/>
      <c r="R22" s="83" t="str">
        <f t="shared" ref="R22:R26" si="5">IF(I$63=1,I52,IF(J$63=1,J52,IF(K$63=1,K52,IF(L$63=1,L52,IF(M$63=1,M52,IF(N$63=1,N52,IF(O$63=1,O52,IF(B$63=1,B52,IF(C$63=1,C52,IF(D$63=1,D52,IF(E$63=1,E52,IF(F$63=1,F52,IF(G$63=1,G52,IF(H$63=1,H52,IF(P$63=1,P52,IF(Q$63=1,Q52,IF(R$63=1,R52,IF(S$63=1,S52,IF(T$63=1,T52,IF(U$63=1,U52,IF(V$63=1,V52,IF(W$63=1,W52,IF(X$63=1,X52,IF(Y$63=1,Y52,IF(Z$63=1,Z52,IF(AA$63=1,AA52,IF(AB$63=1,AB52,IF(AC$63=1,AC52,IF(AD$63=1,AD52,IF(AE$63=1,AE52,IF(AF$63=1,AF52,IF(AG$63=1,AG52,IF(AH$63=1,AH52,IF(AI$63=1,AI52,IF(AJ$63=1,AJ52,IF(AK$63=1,AK52,IF(AL$63=1,AL52,IF(AM$63=1,AM52,IF(AN$63=1,AN52,IF(AO$63=1,AO52,IF(AP$63=1,AP52,IF(AQ$63=1,AQ52,IF(AR$63=1,AR52,IF(AS$63=1,AS52,IF(AT$63=1,AT52,IF(AU$63=1,AU52,IF(AV$63=1,AV52,IF(AW$63=1,AW52,IF(AX$63=1,AX52,IF(AY$63=1,AY52,IF(AZ$63=1,AZ52,IF(BA$63=1,BA52,IF(BB$63=1,BB52,IF(BC$63=1,BC52,IF(BD$63=1,BD52,IF(BE$63=1,BE52,IF(BF$63=1,BF52,IF(BG$63=1,BG52,IF(BH$63=1,BH52,IF(BI$63=1,BI52,IF(BJ$63=1,BJ52,IF(BK$63=1,BK52,"?"))))))))))))))))))))))))))))))))))))))))))))))))))))))))))))))</f>
        <v>portlandite</v>
      </c>
      <c r="S22" s="84">
        <f t="shared" ref="S22:S26" si="6">IF(I$63=1,I58,IF(J$63=1,J58,IF(K$63=1,K58,IF(L$63=1,L58,IF(M$63=1,M58,IF(N$63=1,N58,IF(O$63=1,O58,IF(B$63=1,B58,IF(C$63=1,C58,IF(D$63=1,D58,IF(E$63=1,E58,IF(F$63=1,F58,IF(G$63=1,G58,IF(H$63=1,H58,IF(P$63=1,P58,IF(Q$63=1,Q58,IF(R$63=1,R58,IF(S$63=1,S58,IF(T$63=1,T58,IF(U$63=1,U58,IF(V$63=1,V58,IF(W$63=1,W58,IF(X$63=1,X58,IF(Y$63=1,Y58,IF(Z$63=1,Z58,IF(AA$63=1,AA58,IF(AB$63=1,AB58,IF(AC$63=1,AC58,IF(AD$63=1,AD58,IF(AE$63=1,AE58,IF(AF$63=1,AF58,IF(AG$63=1,AG58,IF(AH$63=1,AH58,IF(AI$63=1,AI58,IF(AJ$63=1,AJ58,IF(AK$63=1,AK58,IF(AL$63=1,AL58,IF(AM$63=1,AM58,IF(AN$63=1,AN58,IF(AO$63=1,AO58,IF(AP$63=1,AP58,IF(AQ$63=1,AQ58,IF(AR$63=1,AR58,IF(AS$63=1,AS58,IF(AT$63=1,AT58,IF(AU$63=1,AU58,IF(AV$63=1,AV58,IF(AW$63=1,AW58,IF(AX$63=1,AX58,IF(AY$63=1,AY58,IF(AZ$63=1,AZ58,IF(BA$63=1,BA58,IF(BB$63=1,BB58,IF(BC$63=1,BC58,IF(BD$63=1,BD58,IF(BE$63=1,BE58,IF(BF$63=1,BF58,IF(BG$63=1,BG58,IF(BH$63=1,BH58,IF(BI$63=1,BI58,IF(BJ$63=1,BJ58,IF(BK$63=1,BK58,"?"))))))))))))))))))))))))))))))))))))))))))))))))))))))))))))))</f>
        <v>7.8427865982928671</v>
      </c>
      <c r="U22" s="68" t="s">
        <v>17</v>
      </c>
      <c r="V22" s="69">
        <f>'with thaumasite'!Y8</f>
        <v>8.118786506017404</v>
      </c>
      <c r="X22" s="70" t="s">
        <v>45</v>
      </c>
      <c r="Y22" s="70">
        <f>(3*mCa +2*mAl+6*mO)/(6*mCa+9*mO +2*mAl+3*mS+9*mO+32*(2*mH+mO))</f>
        <v>0.2152752130013611</v>
      </c>
      <c r="AA22" s="71" t="str">
        <f>R24</f>
        <v>ettringite</v>
      </c>
      <c r="AB22" s="72">
        <f>IF(R24="ettringite",S24*Y$22,IF(R24="monocarbonate",S24*Y$21,IF(R24="Hemicarbonate",S24*Y$20,IF(R24="monosulphate",S24*Y$23,IF(R24="hemisulphate",S24*Y$24,IF(R24="OH-AFm",S24*Y$25,IF(R24="hydrogarnet",S24*Y$26,0)))))))</f>
        <v>3.5985635911488436</v>
      </c>
    </row>
    <row r="23" spans="5:28" x14ac:dyDescent="0.2">
      <c r="L23" s="79"/>
      <c r="M23" s="85" t="str">
        <f t="shared" si="4"/>
        <v>portlandite</v>
      </c>
      <c r="N23" s="86">
        <f t="shared" si="3"/>
        <v>7.8427865982928671</v>
      </c>
      <c r="O23" s="82"/>
      <c r="Q23" s="47"/>
      <c r="R23" s="83" t="str">
        <f t="shared" si="5"/>
        <v>C1.75SH4.4</v>
      </c>
      <c r="S23" s="84">
        <f t="shared" si="6"/>
        <v>4.5319476602481039</v>
      </c>
      <c r="U23" s="68" t="s">
        <v>19</v>
      </c>
      <c r="V23" s="69">
        <f>'with thaumasite'!Y9</f>
        <v>27.051029991567273</v>
      </c>
      <c r="X23" s="70" t="s">
        <v>46</v>
      </c>
      <c r="Y23" s="70">
        <f>(3*mCa +2*mAl+6*mO)/(4*mCa+7*mO +2*mAl+mS+3*mO+12*(2*mH+mO))</f>
        <v>0.43403289205066081</v>
      </c>
      <c r="AA23" s="71" t="str">
        <f t="shared" si="1"/>
        <v>gypsum</v>
      </c>
      <c r="AB23" s="72">
        <f t="shared" ref="AB23:AB24" si="7">IF(R25="ettringite",S25*Y$22,IF(R25="monocarbonate",S25*Y$21,IF(R25="Hemicarbonate",S25*Y$20,IF(R25="monosulphate",S25*Y$23,IF(R25="hemisulphate",S25*Y$24,IF(R25="OH-AFm",S25*Y$25,IF(R25="hydrogarnet",S25*Y$26,0)))))))</f>
        <v>0</v>
      </c>
    </row>
    <row r="24" spans="5:28" x14ac:dyDescent="0.2">
      <c r="L24" s="79"/>
      <c r="M24" s="85" t="str">
        <f t="shared" si="4"/>
        <v>C1.75SH4.4</v>
      </c>
      <c r="N24" s="86">
        <f t="shared" si="3"/>
        <v>4.5319476602481039</v>
      </c>
      <c r="O24" s="82"/>
      <c r="Q24" s="47"/>
      <c r="R24" s="83" t="str">
        <f t="shared" si="5"/>
        <v>ettringite</v>
      </c>
      <c r="S24" s="84">
        <f t="shared" si="6"/>
        <v>16.716107446731879</v>
      </c>
      <c r="U24" s="68" t="s">
        <v>21</v>
      </c>
      <c r="V24" s="69">
        <f>'with thaumasite'!Y10</f>
        <v>41.177458050570117</v>
      </c>
      <c r="X24" s="70" t="s">
        <v>47</v>
      </c>
      <c r="Y24" s="70">
        <f>(3*mCa +2*mAl+6*mO)/(4*mCa+7*mO +2*mAl+0.5*(mS+3*mO)+12.5*(2*mH+mO))</f>
        <v>0.45679835813983549</v>
      </c>
      <c r="AA24" s="71" t="str">
        <f t="shared" si="1"/>
        <v>thaumasite</v>
      </c>
      <c r="AB24" s="72">
        <f t="shared" si="7"/>
        <v>0</v>
      </c>
    </row>
    <row r="25" spans="5:28" x14ac:dyDescent="0.2">
      <c r="L25" s="79"/>
      <c r="M25" s="85" t="str">
        <f t="shared" si="4"/>
        <v>ettringite</v>
      </c>
      <c r="N25" s="86">
        <f t="shared" si="3"/>
        <v>16.716107446731879</v>
      </c>
      <c r="O25" s="82"/>
      <c r="Q25" s="47"/>
      <c r="R25" s="83" t="str">
        <f t="shared" si="5"/>
        <v>gypsum</v>
      </c>
      <c r="S25" s="84">
        <f t="shared" si="6"/>
        <v>13.364900678065922</v>
      </c>
      <c r="U25" s="88" t="str">
        <f>U7</f>
        <v>Fe2O3</v>
      </c>
      <c r="V25" s="89">
        <f>Y12</f>
        <v>0.90654209328787516</v>
      </c>
      <c r="X25" s="70" t="s">
        <v>48</v>
      </c>
      <c r="Y25" s="70">
        <f>(3*mCa +2*mAl+6*mO)/(4*mCa+7*mO +2*mAl+13*(2*mH+mO))</f>
        <v>0.48208416215777139</v>
      </c>
    </row>
    <row r="26" spans="5:28" x14ac:dyDescent="0.2">
      <c r="L26" s="79"/>
      <c r="M26" s="85" t="str">
        <f t="shared" si="4"/>
        <v>gypsum</v>
      </c>
      <c r="N26" s="86">
        <f t="shared" si="3"/>
        <v>13.364900678065922</v>
      </c>
      <c r="O26" s="82"/>
      <c r="Q26" s="47"/>
      <c r="R26" s="83" t="str">
        <f t="shared" si="5"/>
        <v>thaumasite</v>
      </c>
      <c r="S26" s="84">
        <f t="shared" si="6"/>
        <v>50.505123719522622</v>
      </c>
      <c r="U26" s="88" t="str">
        <f>U9</f>
        <v>MgO</v>
      </c>
      <c r="V26" s="89">
        <f>Y13</f>
        <v>0.2084812565959196</v>
      </c>
      <c r="X26" s="70" t="s">
        <v>151</v>
      </c>
      <c r="Y26" s="70">
        <f>(3*mCa +2*mAl+6*mO)/(3*mCa+6*mO +2*mAl+6*(2*mH+mO))</f>
        <v>0.7142587338835007</v>
      </c>
    </row>
    <row r="27" spans="5:28" x14ac:dyDescent="0.2">
      <c r="L27" s="79"/>
      <c r="M27" s="85" t="str">
        <f t="shared" si="4"/>
        <v>thaumasite</v>
      </c>
      <c r="N27" s="86">
        <f t="shared" si="3"/>
        <v>50.505123719522622</v>
      </c>
      <c r="O27" s="82"/>
      <c r="Q27" s="47"/>
      <c r="R27" s="77"/>
      <c r="S27" s="90">
        <f>SUM(S21:S26)</f>
        <v>98.418171112111622</v>
      </c>
      <c r="U27" s="68" t="s">
        <v>32</v>
      </c>
      <c r="V27" s="69">
        <f>'with thaumasite'!Y15</f>
        <v>58.487589356522903</v>
      </c>
      <c r="X27" s="70"/>
      <c r="Y27" s="70"/>
    </row>
    <row r="28" spans="5:28" x14ac:dyDescent="0.2">
      <c r="L28" s="79"/>
      <c r="M28" s="85" t="str">
        <f>IF(AA12&gt;0,AB12,"")</f>
        <v>ferrihydrite</v>
      </c>
      <c r="N28" s="86">
        <f>AA12</f>
        <v>1.0088113941201462</v>
      </c>
      <c r="O28" s="82"/>
      <c r="Q28" s="47"/>
      <c r="R28" s="91" t="s">
        <v>49</v>
      </c>
      <c r="S28" s="84">
        <f>SUM(S32:S36)</f>
        <v>4.5319476602481039</v>
      </c>
      <c r="U28" s="68" t="s">
        <v>50</v>
      </c>
      <c r="V28" s="92">
        <f>SUM(AB19:AB24)</f>
        <v>3.5985635911488436</v>
      </c>
      <c r="X28" s="70"/>
      <c r="Y28" s="70"/>
    </row>
    <row r="29" spans="5:28" x14ac:dyDescent="0.2">
      <c r="L29" s="79"/>
      <c r="M29" s="85" t="str">
        <f>IF(AA13&gt;0,AB13,"")</f>
        <v>hydrotalcite</v>
      </c>
      <c r="N29" s="86">
        <f>AA13</f>
        <v>0.57330183130264689</v>
      </c>
      <c r="O29" s="82"/>
      <c r="Q29" s="47"/>
      <c r="R29" s="93" t="s">
        <v>52</v>
      </c>
      <c r="S29" s="94">
        <f>SUM(T32:T36)</f>
        <v>1.75</v>
      </c>
      <c r="V29" s="95">
        <f>SUM(V19:V27)</f>
        <v>158.02078381851831</v>
      </c>
    </row>
    <row r="30" spans="5:28" ht="13.5" thickBot="1" x14ac:dyDescent="0.25">
      <c r="L30" s="79"/>
      <c r="M30" s="85" t="str">
        <f>IF(AA14&gt;0,AB14,"")</f>
        <v/>
      </c>
      <c r="N30" s="86" t="str">
        <f>IF(AA14&gt;0,AA14,"")</f>
        <v/>
      </c>
      <c r="O30" s="82"/>
      <c r="Q30" s="51"/>
      <c r="R30" s="96" t="s">
        <v>53</v>
      </c>
      <c r="S30" s="97">
        <f>SUM(U32:U36)</f>
        <v>0</v>
      </c>
    </row>
    <row r="31" spans="5:28" x14ac:dyDescent="0.2">
      <c r="L31" s="79"/>
      <c r="M31" s="98" t="str">
        <f t="shared" ref="M31:N33" si="8">R28</f>
        <v>C-A-S-H total</v>
      </c>
      <c r="N31" s="99">
        <f t="shared" si="8"/>
        <v>4.5319476602481039</v>
      </c>
      <c r="O31" s="82"/>
      <c r="T31" s="36" t="s">
        <v>54</v>
      </c>
      <c r="U31" s="36" t="s">
        <v>53</v>
      </c>
    </row>
    <row r="32" spans="5:28" x14ac:dyDescent="0.2">
      <c r="L32" s="79"/>
      <c r="M32" s="98" t="str">
        <f t="shared" si="8"/>
        <v>Ca/Si</v>
      </c>
      <c r="N32" s="86">
        <f t="shared" si="8"/>
        <v>1.75</v>
      </c>
      <c r="O32" s="82"/>
      <c r="R32" s="95" t="str">
        <f>D$218</f>
        <v>C1.75SH4.4</v>
      </c>
      <c r="S32" s="100">
        <f>IF(R$22=R32,S$22,IF(R$23=R32,S$23,IF(R$24=R32,S$24,IF(R$25=R32,S$25,IF(R$26=R32,S$26,0)))))</f>
        <v>4.5319476602481039</v>
      </c>
      <c r="T32" s="101">
        <f>S32*D235/S28</f>
        <v>1.75</v>
      </c>
      <c r="U32" s="101">
        <f>S32*D237/S28</f>
        <v>0</v>
      </c>
    </row>
    <row r="33" spans="1:21" ht="13.5" thickBot="1" x14ac:dyDescent="0.25">
      <c r="L33" s="102"/>
      <c r="M33" s="103" t="str">
        <f t="shared" si="8"/>
        <v>Al/Si</v>
      </c>
      <c r="N33" s="104">
        <f t="shared" si="8"/>
        <v>0</v>
      </c>
      <c r="O33" s="105"/>
      <c r="R33" s="95" t="str">
        <f>E$218</f>
        <v>C1.75A0.05SH4.3</v>
      </c>
      <c r="S33" s="100">
        <f>IF(R$22=R33,S$22,IF(R$23=R33,S$23,IF(R$24=R33,S$24,IF(R$25=R33,S$25,IF(R$26=R33,S$26,0)))))</f>
        <v>0</v>
      </c>
      <c r="T33" s="101">
        <f>S33*E235/S28</f>
        <v>0</v>
      </c>
      <c r="U33" s="101">
        <f>S33*E237/S28</f>
        <v>0</v>
      </c>
    </row>
    <row r="34" spans="1:21" x14ac:dyDescent="0.2">
      <c r="N34" s="95"/>
      <c r="R34" s="95" t="str">
        <f>F$218</f>
        <v>C1.3A0.1SH3</v>
      </c>
      <c r="S34" s="100">
        <f>IF(R$22=R34,S$22,IF(R$23=R34,S$23,IF(R$24=R34,S$24,IF(R$25=R34,S$25,IF(R$26=R34,S$26,0)))))</f>
        <v>0</v>
      </c>
      <c r="T34" s="101">
        <f>S34*F235/S28</f>
        <v>0</v>
      </c>
      <c r="U34" s="101">
        <f>S34*F237/S28</f>
        <v>0</v>
      </c>
    </row>
    <row r="35" spans="1:21" x14ac:dyDescent="0.2">
      <c r="R35" s="95" t="str">
        <f>G$218</f>
        <v>C0.67A0.05SH1.8</v>
      </c>
      <c r="S35" s="100">
        <f>IF(R$22=R35,S$22,IF(R$23=R35,S$23,IF(R$24=R35,S$24,IF(R$25=R35,S$25,IF(R$26=R35,S$26,0)))))</f>
        <v>0</v>
      </c>
      <c r="T35" s="101">
        <f>S35*G235/S28</f>
        <v>0</v>
      </c>
      <c r="U35" s="101">
        <f>S35*G237/S28</f>
        <v>0</v>
      </c>
    </row>
    <row r="36" spans="1:21" x14ac:dyDescent="0.2">
      <c r="R36" s="95" t="str">
        <f>H$218</f>
        <v>C0.67SH1.8</v>
      </c>
      <c r="S36" s="100">
        <f>IF(R$22=R36,S$22,IF(R$23=R36,S$23,IF(R$24=R36,S$24,IF(R$25=R36,S$25,IF(R$26=R36,S$26,0)))))</f>
        <v>0</v>
      </c>
      <c r="T36" s="101">
        <f>S36*H235/S28</f>
        <v>0</v>
      </c>
      <c r="U36" s="101">
        <f>S36*H237/S28</f>
        <v>0</v>
      </c>
    </row>
    <row r="43" spans="1:21" ht="15" customHeight="1" x14ac:dyDescent="0.2"/>
    <row r="47" spans="1:21" ht="14.25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ht="13.5" hidden="1" outlineLevel="1" thickBot="1" x14ac:dyDescent="0.25">
      <c r="A48" s="106" t="s">
        <v>55</v>
      </c>
    </row>
    <row r="49" spans="2:63" hidden="1" outlineLevel="1" x14ac:dyDescent="0.2">
      <c r="B49" s="107">
        <v>1</v>
      </c>
      <c r="C49" s="108"/>
      <c r="D49" s="108"/>
      <c r="E49" s="108"/>
      <c r="F49" s="108"/>
      <c r="G49" s="108"/>
      <c r="H49" s="108"/>
      <c r="I49" s="108">
        <v>2</v>
      </c>
      <c r="J49" s="108"/>
      <c r="K49" s="108"/>
      <c r="L49" s="108"/>
      <c r="M49" s="108"/>
      <c r="N49" s="108"/>
      <c r="O49" s="108"/>
      <c r="P49" s="108">
        <v>3</v>
      </c>
      <c r="Q49" s="108"/>
      <c r="R49" s="108"/>
      <c r="S49" s="109"/>
      <c r="T49" s="109"/>
      <c r="U49" s="109"/>
      <c r="V49" s="108"/>
      <c r="W49" s="108">
        <v>4</v>
      </c>
      <c r="X49" s="108"/>
      <c r="Y49" s="108"/>
      <c r="Z49" s="108"/>
      <c r="AA49" s="108"/>
      <c r="AB49" s="108"/>
      <c r="AC49" s="108"/>
      <c r="AD49" s="108">
        <v>5</v>
      </c>
      <c r="AE49" s="108"/>
      <c r="AF49" s="108"/>
      <c r="AG49" s="108"/>
      <c r="AH49" s="108"/>
      <c r="AI49" s="108"/>
      <c r="AJ49" s="108"/>
      <c r="AK49" s="108">
        <v>6</v>
      </c>
      <c r="AL49" s="108">
        <v>6</v>
      </c>
      <c r="AM49" s="108">
        <v>7</v>
      </c>
      <c r="AN49" s="108">
        <v>8</v>
      </c>
      <c r="AO49" s="108">
        <v>9</v>
      </c>
      <c r="AP49" s="108">
        <v>10</v>
      </c>
      <c r="AQ49" s="108">
        <v>11</v>
      </c>
      <c r="AR49" s="108">
        <v>12</v>
      </c>
      <c r="AS49" s="108">
        <v>13</v>
      </c>
      <c r="AT49" s="108">
        <v>14</v>
      </c>
      <c r="AU49" s="108">
        <v>7</v>
      </c>
      <c r="AV49" s="108">
        <v>8</v>
      </c>
      <c r="AW49" s="108">
        <v>9</v>
      </c>
      <c r="AX49" s="108">
        <v>10</v>
      </c>
      <c r="AY49" s="108">
        <v>11</v>
      </c>
      <c r="AZ49" s="108">
        <v>12</v>
      </c>
      <c r="BA49" s="108">
        <v>13</v>
      </c>
      <c r="BB49" s="108">
        <v>14</v>
      </c>
      <c r="BC49" s="108">
        <v>6</v>
      </c>
      <c r="BD49" s="108">
        <v>7</v>
      </c>
      <c r="BE49" s="108">
        <v>8</v>
      </c>
      <c r="BF49" s="108">
        <v>9</v>
      </c>
      <c r="BG49" s="108">
        <v>10</v>
      </c>
      <c r="BH49" s="108">
        <v>11</v>
      </c>
      <c r="BI49" s="108">
        <v>12</v>
      </c>
      <c r="BJ49" s="108">
        <v>13</v>
      </c>
      <c r="BK49" s="110">
        <v>14</v>
      </c>
    </row>
    <row r="50" spans="2:63" hidden="1" outlineLevel="1" x14ac:dyDescent="0.2">
      <c r="B50" s="111">
        <v>21</v>
      </c>
      <c r="C50" s="112">
        <v>22</v>
      </c>
      <c r="D50" s="112">
        <v>23</v>
      </c>
      <c r="E50" s="112">
        <v>24</v>
      </c>
      <c r="F50" s="112">
        <v>25</v>
      </c>
      <c r="G50" s="112">
        <v>26</v>
      </c>
      <c r="H50" s="188">
        <v>27</v>
      </c>
      <c r="I50" s="112">
        <v>21</v>
      </c>
      <c r="J50" s="112">
        <v>22</v>
      </c>
      <c r="K50" s="112">
        <v>23</v>
      </c>
      <c r="L50" s="112">
        <v>24</v>
      </c>
      <c r="M50" s="112">
        <v>25</v>
      </c>
      <c r="N50" s="112">
        <v>26</v>
      </c>
      <c r="O50" s="112">
        <v>27</v>
      </c>
      <c r="P50" s="112">
        <v>21</v>
      </c>
      <c r="Q50" s="112">
        <v>22</v>
      </c>
      <c r="R50" s="112">
        <v>23</v>
      </c>
      <c r="S50" s="112">
        <v>24</v>
      </c>
      <c r="T50" s="112">
        <v>25</v>
      </c>
      <c r="U50" s="112">
        <v>26</v>
      </c>
      <c r="V50" s="112">
        <v>27</v>
      </c>
      <c r="W50" s="112">
        <v>21</v>
      </c>
      <c r="X50" s="112">
        <v>22</v>
      </c>
      <c r="Y50" s="112">
        <v>23</v>
      </c>
      <c r="Z50" s="112">
        <v>24</v>
      </c>
      <c r="AA50" s="112">
        <v>25</v>
      </c>
      <c r="AB50" s="112">
        <v>26</v>
      </c>
      <c r="AC50" s="112">
        <v>27</v>
      </c>
      <c r="AD50" s="112">
        <v>21</v>
      </c>
      <c r="AE50" s="112">
        <v>22</v>
      </c>
      <c r="AF50" s="112">
        <v>23</v>
      </c>
      <c r="AG50" s="112">
        <v>24</v>
      </c>
      <c r="AH50" s="112">
        <v>25</v>
      </c>
      <c r="AI50" s="112">
        <v>26</v>
      </c>
      <c r="AJ50" s="112">
        <v>27</v>
      </c>
      <c r="AK50" s="112">
        <v>25</v>
      </c>
      <c r="AL50" s="112">
        <v>26</v>
      </c>
      <c r="AM50" s="112">
        <v>25</v>
      </c>
      <c r="AN50" s="112">
        <v>25</v>
      </c>
      <c r="AO50" s="112">
        <v>25</v>
      </c>
      <c r="AP50" s="112">
        <v>25</v>
      </c>
      <c r="AQ50" s="112">
        <v>25</v>
      </c>
      <c r="AR50" s="112">
        <v>25</v>
      </c>
      <c r="AS50" s="112">
        <v>25</v>
      </c>
      <c r="AT50" s="112">
        <v>25</v>
      </c>
      <c r="AU50" s="112">
        <v>26</v>
      </c>
      <c r="AV50" s="112">
        <v>26</v>
      </c>
      <c r="AW50" s="112">
        <v>26</v>
      </c>
      <c r="AX50" s="112">
        <v>26</v>
      </c>
      <c r="AY50" s="112">
        <v>26</v>
      </c>
      <c r="AZ50" s="112">
        <v>26</v>
      </c>
      <c r="BA50" s="112">
        <v>26</v>
      </c>
      <c r="BB50" s="112">
        <v>26</v>
      </c>
      <c r="BC50" s="112">
        <v>27</v>
      </c>
      <c r="BD50" s="112">
        <v>27</v>
      </c>
      <c r="BE50" s="112">
        <v>27</v>
      </c>
      <c r="BF50" s="112">
        <v>27</v>
      </c>
      <c r="BG50" s="112">
        <v>27</v>
      </c>
      <c r="BH50" s="112">
        <v>27</v>
      </c>
      <c r="BI50" s="112">
        <v>27</v>
      </c>
      <c r="BJ50" s="112">
        <v>27</v>
      </c>
      <c r="BK50" s="113">
        <v>27</v>
      </c>
    </row>
    <row r="51" spans="2:63" hidden="1" outlineLevel="1" x14ac:dyDescent="0.2">
      <c r="B51" s="114" t="str">
        <f>$C$79</f>
        <v>water</v>
      </c>
      <c r="C51" s="115" t="str">
        <f>$K$79</f>
        <v>water</v>
      </c>
      <c r="D51" s="115" t="str">
        <f>$S$79</f>
        <v>water</v>
      </c>
      <c r="E51" s="115" t="str">
        <f>$AA$79</f>
        <v>water</v>
      </c>
      <c r="F51" s="115" t="str">
        <f>$AI$79</f>
        <v>water</v>
      </c>
      <c r="G51" s="115" t="str">
        <f>$AQ$79</f>
        <v>water</v>
      </c>
      <c r="H51" s="115" t="str">
        <f>$AY$79</f>
        <v>water</v>
      </c>
      <c r="I51" s="115" t="str">
        <f>$C$96</f>
        <v>water</v>
      </c>
      <c r="J51" s="115" t="str">
        <f>$K$96</f>
        <v>water</v>
      </c>
      <c r="K51" s="115" t="str">
        <f>$S$96</f>
        <v>water</v>
      </c>
      <c r="L51" s="115" t="str">
        <f>$AA$96</f>
        <v>water</v>
      </c>
      <c r="M51" s="115" t="str">
        <f>$AI$96</f>
        <v>water</v>
      </c>
      <c r="N51" s="115" t="str">
        <f>$AQ$96</f>
        <v>water</v>
      </c>
      <c r="O51" s="115" t="str">
        <f>$AY$96</f>
        <v>water</v>
      </c>
      <c r="P51" s="115" t="str">
        <f>$C$112</f>
        <v>water</v>
      </c>
      <c r="Q51" s="115" t="str">
        <f>$K$112</f>
        <v>water</v>
      </c>
      <c r="R51" s="115" t="str">
        <f>$S$112</f>
        <v>water</v>
      </c>
      <c r="S51" s="115" t="str">
        <f>$AA$112</f>
        <v>water</v>
      </c>
      <c r="T51" s="115" t="str">
        <f>$AI$112</f>
        <v>water</v>
      </c>
      <c r="U51" s="115" t="str">
        <f>$AQ$112</f>
        <v>water</v>
      </c>
      <c r="V51" s="115" t="str">
        <f>$AY$112</f>
        <v>water</v>
      </c>
      <c r="W51" s="115" t="str">
        <f>$C$129</f>
        <v>water</v>
      </c>
      <c r="X51" s="115" t="str">
        <f>$K$129</f>
        <v>water</v>
      </c>
      <c r="Y51" s="115" t="str">
        <f>$S$129</f>
        <v>water</v>
      </c>
      <c r="Z51" s="115" t="str">
        <f>$AA$129</f>
        <v>water</v>
      </c>
      <c r="AA51" s="115" t="str">
        <f>$AI$129</f>
        <v>water</v>
      </c>
      <c r="AB51" s="115" t="str">
        <f>$AQ$129</f>
        <v>water</v>
      </c>
      <c r="AC51" s="115" t="str">
        <f>$AY$129</f>
        <v>water</v>
      </c>
      <c r="AD51" s="115" t="str">
        <f>$C$146</f>
        <v>water</v>
      </c>
      <c r="AE51" s="115" t="str">
        <f>$K$146</f>
        <v>water</v>
      </c>
      <c r="AF51" s="115" t="str">
        <f>$S$146</f>
        <v>water</v>
      </c>
      <c r="AG51" s="115" t="str">
        <f>$AA$146</f>
        <v>water</v>
      </c>
      <c r="AH51" s="115" t="str">
        <f>$AI$146</f>
        <v>water</v>
      </c>
      <c r="AI51" s="115" t="str">
        <f>$AQ$146</f>
        <v>water</v>
      </c>
      <c r="AJ51" s="115" t="str">
        <f>$AY$146</f>
        <v>water</v>
      </c>
      <c r="AK51" s="115" t="str">
        <f>$C$180</f>
        <v>water</v>
      </c>
      <c r="AL51" s="115" t="str">
        <f>$C$163</f>
        <v>water</v>
      </c>
      <c r="AM51" s="115" t="str">
        <f>$K$180</f>
        <v>water</v>
      </c>
      <c r="AN51" s="115" t="str">
        <f>$S$180</f>
        <v>water</v>
      </c>
      <c r="AO51" s="115" t="str">
        <f>$AA$180</f>
        <v>water</v>
      </c>
      <c r="AP51" s="115" t="str">
        <f>$AI$180</f>
        <v>water</v>
      </c>
      <c r="AQ51" s="115" t="str">
        <f>$AQ$180</f>
        <v>water</v>
      </c>
      <c r="AR51" s="115" t="str">
        <f>$AY$180</f>
        <v>water</v>
      </c>
      <c r="AS51" s="115" t="str">
        <f>$BG$180</f>
        <v>water</v>
      </c>
      <c r="AT51" s="115" t="str">
        <f>$BO$180</f>
        <v>water</v>
      </c>
      <c r="AU51" s="115" t="str">
        <f>$K$163</f>
        <v>water</v>
      </c>
      <c r="AV51" s="115" t="str">
        <f>$S$163</f>
        <v>water</v>
      </c>
      <c r="AW51" s="115" t="str">
        <f>$AA$163</f>
        <v>water</v>
      </c>
      <c r="AX51" s="115" t="str">
        <f>$AI$163</f>
        <v>water</v>
      </c>
      <c r="AY51" s="115" t="str">
        <f>$AQ$163</f>
        <v>water</v>
      </c>
      <c r="AZ51" s="115" t="str">
        <f>$AY$163</f>
        <v>water</v>
      </c>
      <c r="BA51" s="115" t="str">
        <f>$BG$163</f>
        <v>water</v>
      </c>
      <c r="BB51" s="115" t="str">
        <f>$BO$163</f>
        <v>water</v>
      </c>
      <c r="BC51" s="115" t="str">
        <f>$C$180</f>
        <v>water</v>
      </c>
      <c r="BD51" s="115" t="str">
        <f>$K$180</f>
        <v>water</v>
      </c>
      <c r="BE51" s="115" t="str">
        <f>$S$180</f>
        <v>water</v>
      </c>
      <c r="BF51" s="115" t="str">
        <f>$AA$180</f>
        <v>water</v>
      </c>
      <c r="BG51" s="115" t="str">
        <f>$AI$180</f>
        <v>water</v>
      </c>
      <c r="BH51" s="115" t="str">
        <f>$AQ$180</f>
        <v>water</v>
      </c>
      <c r="BI51" s="115" t="str">
        <f>$AY$180</f>
        <v>water</v>
      </c>
      <c r="BJ51" s="115" t="str">
        <f>$BG$180</f>
        <v>water</v>
      </c>
      <c r="BK51" s="116" t="str">
        <f>$BO$180</f>
        <v>water</v>
      </c>
    </row>
    <row r="52" spans="2:63" hidden="1" outlineLevel="1" x14ac:dyDescent="0.2">
      <c r="B52" s="114" t="str">
        <f>$D$79</f>
        <v>portlandite</v>
      </c>
      <c r="C52" s="115" t="str">
        <f>$L$79</f>
        <v>portlandite</v>
      </c>
      <c r="D52" s="115" t="str">
        <f>$T$79</f>
        <v>portlandite</v>
      </c>
      <c r="E52" s="115" t="str">
        <f>$AB$79</f>
        <v>portlandite</v>
      </c>
      <c r="F52" s="115" t="str">
        <f>$AJ$79</f>
        <v>portlandite</v>
      </c>
      <c r="G52" s="115" t="str">
        <f>$AR$79</f>
        <v>portlandite</v>
      </c>
      <c r="H52" s="115" t="str">
        <f>$AZ$79</f>
        <v>portlandite</v>
      </c>
      <c r="I52" s="115" t="str">
        <f>$D$96</f>
        <v>portlandite</v>
      </c>
      <c r="J52" s="115" t="str">
        <f>$L$96</f>
        <v>portlandite</v>
      </c>
      <c r="K52" s="115" t="str">
        <f>$T$96</f>
        <v>portlandite</v>
      </c>
      <c r="L52" s="115" t="str">
        <f>$AB$96</f>
        <v>portlandite</v>
      </c>
      <c r="M52" s="115" t="str">
        <f>$AJ$96</f>
        <v>portlandite</v>
      </c>
      <c r="N52" s="115" t="str">
        <f>$AR$96</f>
        <v>portlandite</v>
      </c>
      <c r="O52" s="115" t="str">
        <f>$AZ$96</f>
        <v>portlandite</v>
      </c>
      <c r="P52" s="115" t="str">
        <f>$D$112</f>
        <v>C1.3A0.1SH3</v>
      </c>
      <c r="Q52" s="115" t="str">
        <f>$L$112</f>
        <v>C1.3A0.1SH3</v>
      </c>
      <c r="R52" s="115" t="str">
        <f>$T$112</f>
        <v>C1.3A0.1SH3</v>
      </c>
      <c r="S52" s="115" t="str">
        <f>$AB$112</f>
        <v>C1.3A0.1SH3</v>
      </c>
      <c r="T52" s="115" t="str">
        <f>$AJ$112</f>
        <v>C1.3A0.1SH3</v>
      </c>
      <c r="U52" s="115" t="str">
        <f>$AR$112</f>
        <v>calcite</v>
      </c>
      <c r="V52" s="115" t="str">
        <f>$AZ$112</f>
        <v>C1.3A0.1SH3</v>
      </c>
      <c r="W52" s="115" t="str">
        <f>$D$129</f>
        <v>C1.3A0.1SH3</v>
      </c>
      <c r="X52" s="115" t="str">
        <f>$L$129</f>
        <v>C1.3A0.1SH3</v>
      </c>
      <c r="Y52" s="115" t="str">
        <f>$T$129</f>
        <v>C1.3A0.1SH3</v>
      </c>
      <c r="Z52" s="115" t="str">
        <f>$AB$129</f>
        <v>C1.3A0.1SH3</v>
      </c>
      <c r="AA52" s="115" t="str">
        <f>$AJ$129</f>
        <v>C1.3A0.1SH3</v>
      </c>
      <c r="AB52" s="115" t="str">
        <f>$AR$129</f>
        <v>calcite</v>
      </c>
      <c r="AC52" s="115" t="str">
        <f>$AZ$129</f>
        <v>C1.3A0.1SH3</v>
      </c>
      <c r="AD52" s="115" t="str">
        <f>$D$146</f>
        <v>AH3</v>
      </c>
      <c r="AE52" s="115" t="str">
        <f>$L$146</f>
        <v>AH3</v>
      </c>
      <c r="AF52" s="115" t="str">
        <f>$T$146</f>
        <v>AH3</v>
      </c>
      <c r="AG52" s="115" t="str">
        <f>$AB$146</f>
        <v>AH3</v>
      </c>
      <c r="AH52" s="115" t="str">
        <f>$AJ$146</f>
        <v>AH3</v>
      </c>
      <c r="AI52" s="115" t="str">
        <f>$AR$146</f>
        <v>AH3</v>
      </c>
      <c r="AJ52" s="115" t="str">
        <f>$AZ$146</f>
        <v>AH3</v>
      </c>
      <c r="AK52" s="115" t="str">
        <f>$D$180</f>
        <v>strätlingite</v>
      </c>
      <c r="AL52" s="115" t="str">
        <f>$D$163</f>
        <v>calcite</v>
      </c>
      <c r="AM52" s="115" t="str">
        <f>$L$180</f>
        <v>SiO2</v>
      </c>
      <c r="AN52" s="115" t="str">
        <f>$T$180</f>
        <v>strätlingite</v>
      </c>
      <c r="AO52" s="115" t="str">
        <f>$AB$180</f>
        <v>SiO2</v>
      </c>
      <c r="AP52" s="115" t="str">
        <f>$AJ$180</f>
        <v>SiO2</v>
      </c>
      <c r="AQ52" s="115" t="str">
        <f>$AR$180</f>
        <v>C1.3A0.1SH3</v>
      </c>
      <c r="AR52" s="115" t="str">
        <f>$AZ$180</f>
        <v>C1.3A0.1SH3</v>
      </c>
      <c r="AS52" s="115" t="str">
        <f>$BH$180</f>
        <v>C1.3A0.1SH3</v>
      </c>
      <c r="AT52" s="115" t="str">
        <f>$BP$180</f>
        <v>C1.3A0.1SH3</v>
      </c>
      <c r="AU52" s="115" t="str">
        <f>$L$163</f>
        <v>SiO2</v>
      </c>
      <c r="AV52" s="115" t="str">
        <f>$T$163</f>
        <v>strätlingite</v>
      </c>
      <c r="AW52" s="115" t="str">
        <f>$AB$163</f>
        <v>SiO2</v>
      </c>
      <c r="AX52" s="115" t="str">
        <f>$AJ$163</f>
        <v>SiO2</v>
      </c>
      <c r="AY52" s="115" t="str">
        <f>$AR$163</f>
        <v>calcite</v>
      </c>
      <c r="AZ52" s="115" t="str">
        <f>$AZ$163</f>
        <v>calcite</v>
      </c>
      <c r="BA52" s="115" t="str">
        <f>$BH$163</f>
        <v>C1.3A0.1SH3</v>
      </c>
      <c r="BB52" s="115" t="str">
        <f>$BP$163</f>
        <v>C1.3A0.1SH3</v>
      </c>
      <c r="BC52" s="115" t="str">
        <f>$D$180</f>
        <v>strätlingite</v>
      </c>
      <c r="BD52" s="115" t="str">
        <f>$L$180</f>
        <v>SiO2</v>
      </c>
      <c r="BE52" s="115" t="str">
        <f>$T$180</f>
        <v>strätlingite</v>
      </c>
      <c r="BF52" s="115" t="str">
        <f>$AB$180</f>
        <v>SiO2</v>
      </c>
      <c r="BG52" s="115" t="str">
        <f>$AJ$180</f>
        <v>SiO2</v>
      </c>
      <c r="BH52" s="115" t="str">
        <f>$AR$180</f>
        <v>C1.3A0.1SH3</v>
      </c>
      <c r="BI52" s="115" t="str">
        <f>$AZ$180</f>
        <v>C1.3A0.1SH3</v>
      </c>
      <c r="BJ52" s="115" t="str">
        <f>$BH$180</f>
        <v>C1.3A0.1SH3</v>
      </c>
      <c r="BK52" s="116" t="str">
        <f>$BP$180</f>
        <v>C1.3A0.1SH3</v>
      </c>
    </row>
    <row r="53" spans="2:63" hidden="1" outlineLevel="1" x14ac:dyDescent="0.2">
      <c r="B53" s="117" t="str">
        <f>$E$79</f>
        <v>C1.75SH4.4</v>
      </c>
      <c r="C53" s="118" t="str">
        <f>$M$79</f>
        <v>C1.75SH4.4</v>
      </c>
      <c r="D53" s="118" t="str">
        <f>$U$79</f>
        <v>C1.75SH4.4</v>
      </c>
      <c r="E53" s="118" t="str">
        <f>$AC$79</f>
        <v>C1.75SH4.4</v>
      </c>
      <c r="F53" s="118" t="str">
        <f>$AK$79</f>
        <v>C1.75SH4.4</v>
      </c>
      <c r="G53" s="118" t="str">
        <f>$AS$79</f>
        <v>C1.75SH4.4</v>
      </c>
      <c r="H53" s="118" t="str">
        <f>$BA$79</f>
        <v>C1.75SH4.4</v>
      </c>
      <c r="I53" s="115" t="str">
        <f>$E$96</f>
        <v>C1.75A0.05SH4.3</v>
      </c>
      <c r="J53" s="115" t="str">
        <f>$M$96</f>
        <v>C1.75A0.05SH4.3</v>
      </c>
      <c r="K53" s="115" t="str">
        <f>$U$96</f>
        <v>C1.75A0.05SH4.3</v>
      </c>
      <c r="L53" s="115" t="str">
        <f>$AC$96</f>
        <v>C1.75A0.05SH4.3</v>
      </c>
      <c r="M53" s="115" t="str">
        <f>$AK$96</f>
        <v>C1.75A0.05SH4.3</v>
      </c>
      <c r="N53" s="115" t="str">
        <f>$AS$96</f>
        <v>calcite</v>
      </c>
      <c r="O53" s="115" t="str">
        <f>$BA$96</f>
        <v>C1.75A0.05SH4.3</v>
      </c>
      <c r="P53" s="115" t="str">
        <f>$E$112</f>
        <v>C1.75A0.05SH4.3</v>
      </c>
      <c r="Q53" s="115" t="str">
        <f>$M$112</f>
        <v>C1.75A0.05SH4.3</v>
      </c>
      <c r="R53" s="115" t="str">
        <f>$U$112</f>
        <v>C1.75A0.05SH4.3</v>
      </c>
      <c r="S53" s="115" t="str">
        <f>$AC$112</f>
        <v>C1.75A0.05SH4.3</v>
      </c>
      <c r="T53" s="115" t="str">
        <f>$AK$112</f>
        <v>C1.75A0.05SH4.3</v>
      </c>
      <c r="U53" s="115" t="str">
        <f>$AS$112</f>
        <v>C1.75A0.05SH4.3</v>
      </c>
      <c r="V53" s="115" t="str">
        <f>$BA$112</f>
        <v>C1.75A0.05SH4.3</v>
      </c>
      <c r="W53" s="115" t="str">
        <f>$E$129</f>
        <v>strätlingite</v>
      </c>
      <c r="X53" s="115" t="str">
        <f>$M$129</f>
        <v>strätlingite</v>
      </c>
      <c r="Y53" s="115" t="str">
        <f>$U$129</f>
        <v>strätlingite</v>
      </c>
      <c r="Z53" s="115" t="str">
        <f>$AC$129</f>
        <v>strätlingite</v>
      </c>
      <c r="AA53" s="115" t="str">
        <f>$AK$129</f>
        <v>strätlingite</v>
      </c>
      <c r="AB53" s="115" t="str">
        <f>$AS$129</f>
        <v>strätlingite</v>
      </c>
      <c r="AC53" s="115" t="str">
        <f>$BA$129</f>
        <v>strätlingite</v>
      </c>
      <c r="AD53" s="115" t="str">
        <f>$E$146</f>
        <v>strätlingite</v>
      </c>
      <c r="AE53" s="115" t="str">
        <f>$M$146</f>
        <v>strätlingite</v>
      </c>
      <c r="AF53" s="115" t="str">
        <f>$U$146</f>
        <v>strätlingite</v>
      </c>
      <c r="AG53" s="115" t="str">
        <f>$AC$146</f>
        <v>strätlingite</v>
      </c>
      <c r="AH53" s="115" t="str">
        <f>$AK$146</f>
        <v>strätlingite</v>
      </c>
      <c r="AI53" s="115" t="str">
        <f>$AS$146</f>
        <v>calcite</v>
      </c>
      <c r="AJ53" s="115" t="str">
        <f>$BA$146</f>
        <v>strätlingite</v>
      </c>
      <c r="AK53" s="115" t="str">
        <f>$E$180</f>
        <v>Ca-stilbite</v>
      </c>
      <c r="AL53" s="115" t="str">
        <f>$E$163</f>
        <v>Ca-stilbite</v>
      </c>
      <c r="AM53" s="115" t="str">
        <f>$M$180</f>
        <v>Ca-stilbite</v>
      </c>
      <c r="AN53" s="115" t="str">
        <f>$U$180</f>
        <v>Ca-stilbite</v>
      </c>
      <c r="AO53" s="115" t="str">
        <f>$AC$180</f>
        <v>Ca-stilbite</v>
      </c>
      <c r="AP53" s="115" t="str">
        <f>$AK$180</f>
        <v>C0.67SH1.8</v>
      </c>
      <c r="AQ53" s="115" t="str">
        <f>$AS$180</f>
        <v>strätlingite</v>
      </c>
      <c r="AR53" s="115" t="str">
        <f>$BA$180</f>
        <v>C0.67SH1.8</v>
      </c>
      <c r="AS53" s="115" t="str">
        <f>$BI$180</f>
        <v>C1.75A0.05SH4.3</v>
      </c>
      <c r="AT53" s="115" t="str">
        <f>$BQ$180</f>
        <v>C0.67SH1.8</v>
      </c>
      <c r="AU53" s="115" t="str">
        <f>$M$163</f>
        <v>calcite</v>
      </c>
      <c r="AV53" s="115" t="str">
        <f>$U$163</f>
        <v>Ca-stilbite</v>
      </c>
      <c r="AW53" s="115" t="str">
        <f>$AC$163</f>
        <v>Ca-stilbite</v>
      </c>
      <c r="AX53" s="115" t="str">
        <f>$AK$163</f>
        <v>calcite</v>
      </c>
      <c r="AY53" s="115" t="str">
        <f>$AS$163</f>
        <v>strätlingite</v>
      </c>
      <c r="AZ53" s="115" t="str">
        <f>$BA$163</f>
        <v>C0.67SH1.8</v>
      </c>
      <c r="BA53" s="115" t="str">
        <f>$BI$163</f>
        <v>C1.75A0.05SH4.3</v>
      </c>
      <c r="BB53" s="115" t="str">
        <f>$BQ$163</f>
        <v>C0.67SH1.8</v>
      </c>
      <c r="BC53" s="115" t="str">
        <f>$E$180</f>
        <v>Ca-stilbite</v>
      </c>
      <c r="BD53" s="115" t="str">
        <f>$M$180</f>
        <v>Ca-stilbite</v>
      </c>
      <c r="BE53" s="115" t="str">
        <f>$U$180</f>
        <v>Ca-stilbite</v>
      </c>
      <c r="BF53" s="115" t="str">
        <f>$AC$180</f>
        <v>Ca-stilbite</v>
      </c>
      <c r="BG53" s="115" t="str">
        <f>$AK$180</f>
        <v>C0.67SH1.8</v>
      </c>
      <c r="BH53" s="115" t="str">
        <f>$AS$180</f>
        <v>strätlingite</v>
      </c>
      <c r="BI53" s="115" t="str">
        <f>$BA$180</f>
        <v>C0.67SH1.8</v>
      </c>
      <c r="BJ53" s="115" t="str">
        <f>$BI$180</f>
        <v>C1.75A0.05SH4.3</v>
      </c>
      <c r="BK53" s="116" t="str">
        <f>$BQ$180</f>
        <v>C0.67SH1.8</v>
      </c>
    </row>
    <row r="54" spans="2:63" hidden="1" outlineLevel="1" x14ac:dyDescent="0.2">
      <c r="B54" s="114" t="str">
        <f>$F$79</f>
        <v>Hydrogarnet</v>
      </c>
      <c r="C54" s="115" t="str">
        <f>$N$79</f>
        <v>monosulphate</v>
      </c>
      <c r="D54" s="115" t="str">
        <f>$V$79</f>
        <v>monosulphate</v>
      </c>
      <c r="E54" s="115" t="str">
        <f>$AD$79</f>
        <v>Hemicarbonate</v>
      </c>
      <c r="F54" s="115" t="str">
        <f>$AL$79</f>
        <v>ettringite</v>
      </c>
      <c r="G54" s="115" t="str">
        <f>$AT$79</f>
        <v>ettringite</v>
      </c>
      <c r="H54" s="115" t="str">
        <f>$BB$79</f>
        <v>ettringite</v>
      </c>
      <c r="I54" s="115" t="str">
        <f>$F$96</f>
        <v>Hydrogarnet</v>
      </c>
      <c r="J54" s="115" t="str">
        <f>$N$96</f>
        <v>monosulphate</v>
      </c>
      <c r="K54" s="115" t="str">
        <f>$V$96</f>
        <v>monosulphate</v>
      </c>
      <c r="L54" s="115" t="str">
        <f>$AD$96</f>
        <v>Hemicarbonate</v>
      </c>
      <c r="M54" s="115" t="str">
        <f>$AL$96</f>
        <v>ettringite</v>
      </c>
      <c r="N54" s="115" t="str">
        <f>$AT$96</f>
        <v>ettringite</v>
      </c>
      <c r="O54" s="115" t="str">
        <f>$BB$96</f>
        <v>ettringite</v>
      </c>
      <c r="P54" s="115" t="str">
        <f>$F$112</f>
        <v>Hydrogarnet</v>
      </c>
      <c r="Q54" s="115" t="str">
        <f>$N$112</f>
        <v>monosulphate</v>
      </c>
      <c r="R54" s="115" t="str">
        <f>$V$112</f>
        <v>monosulphate</v>
      </c>
      <c r="S54" s="115" t="str">
        <f>$AD$112</f>
        <v>Hemicarbonate</v>
      </c>
      <c r="T54" s="115" t="str">
        <f>$AL$112</f>
        <v>ettringite</v>
      </c>
      <c r="U54" s="115" t="str">
        <f>$AT$112</f>
        <v>ettringite</v>
      </c>
      <c r="V54" s="115" t="str">
        <f>$BB$112</f>
        <v>ettringite</v>
      </c>
      <c r="W54" s="115" t="str">
        <f>$F$129</f>
        <v>Hydrogarnet</v>
      </c>
      <c r="X54" s="115" t="str">
        <f>$N$129</f>
        <v>monosulphate</v>
      </c>
      <c r="Y54" s="115" t="str">
        <f>$V$129</f>
        <v>monosulphate</v>
      </c>
      <c r="Z54" s="115" t="str">
        <f>$AD$129</f>
        <v>Hemicarbonate</v>
      </c>
      <c r="AA54" s="115" t="str">
        <f>$AL$129</f>
        <v>ettringite</v>
      </c>
      <c r="AB54" s="115" t="str">
        <f>$AT$129</f>
        <v>ettringite</v>
      </c>
      <c r="AC54" s="115" t="str">
        <f>$BB$129</f>
        <v>ettringite</v>
      </c>
      <c r="AD54" s="115" t="str">
        <f>$F$146</f>
        <v>Hydrogarnet</v>
      </c>
      <c r="AE54" s="115" t="str">
        <f>$N$146</f>
        <v>monosulphate</v>
      </c>
      <c r="AF54" s="115" t="str">
        <f>$V$146</f>
        <v>monosulphate</v>
      </c>
      <c r="AG54" s="115" t="str">
        <f>$AD$146</f>
        <v>Hemicarbonate</v>
      </c>
      <c r="AH54" s="115" t="str">
        <f>$AL$146</f>
        <v>ettringite</v>
      </c>
      <c r="AI54" s="115" t="str">
        <f>$AT$146</f>
        <v>ettringite</v>
      </c>
      <c r="AJ54" s="115" t="str">
        <f>$BB$146</f>
        <v>ettringite</v>
      </c>
      <c r="AK54" s="115" t="str">
        <f>$F$180</f>
        <v>AH3</v>
      </c>
      <c r="AL54" s="115" t="str">
        <f>$F$163</f>
        <v>AH3</v>
      </c>
      <c r="AM54" s="115" t="str">
        <f>$N$180</f>
        <v>AH3</v>
      </c>
      <c r="AN54" s="115" t="str">
        <f>$V$180</f>
        <v>C0.67A0.05SH1.8</v>
      </c>
      <c r="AO54" s="115" t="str">
        <f>$AD$180</f>
        <v>C0.67A0.05SH1.8</v>
      </c>
      <c r="AP54" s="115" t="str">
        <f>$AL$180</f>
        <v>C0.67A0.05SH1.8</v>
      </c>
      <c r="AQ54" s="115" t="str">
        <f>$AT$180</f>
        <v>C0.67A0.05SH1.8</v>
      </c>
      <c r="AR54" s="115" t="str">
        <f>$BB$180</f>
        <v>C0.67A0.05SH1.8</v>
      </c>
      <c r="AS54" s="115" t="str">
        <f>$BJ$180</f>
        <v>C1.75SH4.4</v>
      </c>
      <c r="AT54" s="115" t="str">
        <f>$BR$180</f>
        <v>C1.75SH4.4</v>
      </c>
      <c r="AU54" s="115" t="str">
        <f>$N$163</f>
        <v>AH3</v>
      </c>
      <c r="AV54" s="115" t="str">
        <f>$V$163</f>
        <v>calcite</v>
      </c>
      <c r="AW54" s="115" t="str">
        <f>$AD$163</f>
        <v>calcite</v>
      </c>
      <c r="AX54" s="115" t="str">
        <f>$AL$163</f>
        <v>C0.67A0.05SH1.8</v>
      </c>
      <c r="AY54" s="115" t="str">
        <f>$AT$163</f>
        <v>C0.67A0.05SH1.8</v>
      </c>
      <c r="AZ54" s="115" t="str">
        <f>$BB$163</f>
        <v>C0.67A0.05SH1.8</v>
      </c>
      <c r="BA54" s="115" t="str">
        <f>$BJ$163</f>
        <v>calcite</v>
      </c>
      <c r="BB54" s="115" t="str">
        <f>$BR$163</f>
        <v>calcite</v>
      </c>
      <c r="BC54" s="115" t="str">
        <f>$F$180</f>
        <v>AH3</v>
      </c>
      <c r="BD54" s="115" t="str">
        <f>$N$180</f>
        <v>AH3</v>
      </c>
      <c r="BE54" s="115" t="str">
        <f>$V$180</f>
        <v>C0.67A0.05SH1.8</v>
      </c>
      <c r="BF54" s="115" t="str">
        <f>$AD$180</f>
        <v>C0.67A0.05SH1.8</v>
      </c>
      <c r="BG54" s="115" t="str">
        <f>$AL$180</f>
        <v>C0.67A0.05SH1.8</v>
      </c>
      <c r="BH54" s="115" t="str">
        <f>$AT$180</f>
        <v>C0.67A0.05SH1.8</v>
      </c>
      <c r="BI54" s="115" t="str">
        <f>$BB$180</f>
        <v>C0.67A0.05SH1.8</v>
      </c>
      <c r="BJ54" s="115" t="str">
        <f>$BJ$180</f>
        <v>C1.75SH4.4</v>
      </c>
      <c r="BK54" s="116" t="str">
        <f>$BR$180</f>
        <v>C1.75SH4.4</v>
      </c>
    </row>
    <row r="55" spans="2:63" hidden="1" outlineLevel="1" x14ac:dyDescent="0.2">
      <c r="B55" s="114" t="str">
        <f>$G$79</f>
        <v>Hemicarbonate</v>
      </c>
      <c r="C55" s="115" t="str">
        <f>$O$79</f>
        <v>Hemisulphate</v>
      </c>
      <c r="D55" s="115" t="str">
        <f>$W$79</f>
        <v>ettringite</v>
      </c>
      <c r="E55" s="115" t="str">
        <f>$AE$79</f>
        <v>ettringite</v>
      </c>
      <c r="F55" s="115" t="str">
        <f>$AM$79</f>
        <v>monocarbonate</v>
      </c>
      <c r="G55" s="25" t="str">
        <f>$AU$79</f>
        <v>gypsum</v>
      </c>
      <c r="H55" s="115" t="str">
        <f>$BC$79</f>
        <v>thaumasite</v>
      </c>
      <c r="I55" s="115" t="str">
        <f>$G$96</f>
        <v>Hemicarbonate</v>
      </c>
      <c r="J55" s="115" t="str">
        <f>$O$96</f>
        <v>Hemisulphate</v>
      </c>
      <c r="K55" s="115" t="str">
        <f>$W$96</f>
        <v>ettringite</v>
      </c>
      <c r="L55" s="115" t="str">
        <f>$AE$96</f>
        <v>ettringite</v>
      </c>
      <c r="M55" s="115" t="str">
        <f>$AM$96</f>
        <v>monocarbonate</v>
      </c>
      <c r="N55" s="115" t="str">
        <f>$AU$96</f>
        <v>gypsum</v>
      </c>
      <c r="O55" s="115" t="str">
        <f>$BC$96</f>
        <v>thaumasite</v>
      </c>
      <c r="P55" s="115" t="str">
        <f>$G$112</f>
        <v>Hemicarbonate</v>
      </c>
      <c r="Q55" s="115" t="str">
        <f>$O$112</f>
        <v>Hemisulphate</v>
      </c>
      <c r="R55" s="115" t="str">
        <f>$W$112</f>
        <v>ettringite</v>
      </c>
      <c r="S55" s="115" t="str">
        <f>$AE$112</f>
        <v>ettringite</v>
      </c>
      <c r="T55" s="115" t="str">
        <f>$AM$112</f>
        <v>monocarbonate</v>
      </c>
      <c r="U55" s="115" t="str">
        <f>$AU$112</f>
        <v>gypsum</v>
      </c>
      <c r="V55" s="115" t="str">
        <f>$BC$112</f>
        <v>thaumasite</v>
      </c>
      <c r="W55" s="115" t="str">
        <f>$G$129</f>
        <v>Hemicarbonate</v>
      </c>
      <c r="X55" s="115" t="str">
        <f>$O$129</f>
        <v>Hemisulphate</v>
      </c>
      <c r="Y55" s="115" t="str">
        <f>$W$129</f>
        <v>ettringite</v>
      </c>
      <c r="Z55" s="115" t="str">
        <f>$AE$129</f>
        <v>ettringite</v>
      </c>
      <c r="AA55" s="115" t="str">
        <f>$AM$129</f>
        <v>monocarbonate</v>
      </c>
      <c r="AB55" s="115" t="str">
        <f>$AU$129</f>
        <v>gypsum</v>
      </c>
      <c r="AC55" s="115" t="str">
        <f>$BC$129</f>
        <v>thaumasite</v>
      </c>
      <c r="AD55" s="115" t="str">
        <f>$G$146</f>
        <v>Hemicarbonate</v>
      </c>
      <c r="AE55" s="115" t="str">
        <f>$O$146</f>
        <v>Hemisulphate</v>
      </c>
      <c r="AF55" s="115" t="str">
        <f>$W$146</f>
        <v>ettringite</v>
      </c>
      <c r="AG55" s="115" t="str">
        <f>$AE$146</f>
        <v>ettringite</v>
      </c>
      <c r="AH55" s="115" t="str">
        <f>$AM$146</f>
        <v>monocarbonate</v>
      </c>
      <c r="AI55" s="115" t="str">
        <f>$AU$146</f>
        <v>gypsum</v>
      </c>
      <c r="AJ55" s="115" t="str">
        <f>$BC$146</f>
        <v>thaumasite</v>
      </c>
      <c r="AK55" s="115" t="str">
        <f>$G$180</f>
        <v>thaumasite</v>
      </c>
      <c r="AL55" s="115" t="str">
        <f>$G$163</f>
        <v>gypsum</v>
      </c>
      <c r="AM55" s="115" t="str">
        <f>$O$180</f>
        <v>thaumasite</v>
      </c>
      <c r="AN55" s="115" t="str">
        <f>$W$180</f>
        <v>thaumasite</v>
      </c>
      <c r="AO55" s="115" t="str">
        <f>$AE$180</f>
        <v>thaumasite</v>
      </c>
      <c r="AP55" s="115" t="str">
        <f>$AM$180</f>
        <v>thaumasite</v>
      </c>
      <c r="AQ55" s="115" t="str">
        <f>$AU$180</f>
        <v>thaumasite</v>
      </c>
      <c r="AR55" s="115" t="str">
        <f>$BC$180</f>
        <v>thaumasite</v>
      </c>
      <c r="AS55" s="115" t="str">
        <f>$BK$180</f>
        <v>thaumasite</v>
      </c>
      <c r="AT55" s="115" t="str">
        <f>$BS$180</f>
        <v>thaumasite</v>
      </c>
      <c r="AU55" s="115" t="str">
        <f>$O$163</f>
        <v>gypsum</v>
      </c>
      <c r="AV55" s="115" t="str">
        <f>$W$163</f>
        <v>gypsum</v>
      </c>
      <c r="AW55" s="115" t="str">
        <f>$AE$163</f>
        <v>gypsum</v>
      </c>
      <c r="AX55" s="115" t="str">
        <f>$AM$163</f>
        <v>gypsum</v>
      </c>
      <c r="AY55" s="115" t="str">
        <f>$AU$163</f>
        <v>gypsum</v>
      </c>
      <c r="AZ55" s="115" t="str">
        <f>$BC$163</f>
        <v>gypsum</v>
      </c>
      <c r="BA55" s="115" t="str">
        <f>$BK$163</f>
        <v>gypsum</v>
      </c>
      <c r="BB55" s="115" t="str">
        <f>$BS$163</f>
        <v>gypsum</v>
      </c>
      <c r="BC55" s="115" t="str">
        <f>$G$180</f>
        <v>thaumasite</v>
      </c>
      <c r="BD55" s="115" t="str">
        <f>$O$180</f>
        <v>thaumasite</v>
      </c>
      <c r="BE55" s="115" t="str">
        <f>$W$180</f>
        <v>thaumasite</v>
      </c>
      <c r="BF55" s="115" t="str">
        <f>$AE$180</f>
        <v>thaumasite</v>
      </c>
      <c r="BG55" s="115" t="str">
        <f>$AM$180</f>
        <v>thaumasite</v>
      </c>
      <c r="BH55" s="115" t="str">
        <f>$AU$180</f>
        <v>thaumasite</v>
      </c>
      <c r="BI55" s="115" t="str">
        <f>$BC$180</f>
        <v>thaumasite</v>
      </c>
      <c r="BJ55" s="115" t="str">
        <f>$BK$180</f>
        <v>thaumasite</v>
      </c>
      <c r="BK55" s="116" t="str">
        <f>$BS$180</f>
        <v>thaumasite</v>
      </c>
    </row>
    <row r="56" spans="2:63" hidden="1" outlineLevel="1" x14ac:dyDescent="0.2">
      <c r="B56" s="114" t="str">
        <f>$H$79</f>
        <v>Hemisulphate</v>
      </c>
      <c r="C56" s="115" t="str">
        <f>$P$79</f>
        <v>Hemicarbonate</v>
      </c>
      <c r="D56" s="115" t="str">
        <f>$X$79</f>
        <v>Hemicarbonate</v>
      </c>
      <c r="E56" s="115" t="str">
        <f>$AF$79</f>
        <v>monocarbonate</v>
      </c>
      <c r="F56" s="115" t="str">
        <f>$AN$79</f>
        <v>calcite</v>
      </c>
      <c r="G56" s="115" t="str">
        <f>$AV$79</f>
        <v>thaumasite</v>
      </c>
      <c r="H56" s="25" t="str">
        <f>$BD$79</f>
        <v>calcite</v>
      </c>
      <c r="I56" s="115" t="str">
        <f>$H$96</f>
        <v>Hemisulphate</v>
      </c>
      <c r="J56" s="115" t="str">
        <f>$P$96</f>
        <v>Hemicarbonate</v>
      </c>
      <c r="K56" s="115" t="str">
        <f>$X$96</f>
        <v>Hemicarbonate</v>
      </c>
      <c r="L56" s="115" t="str">
        <f>$AF$96</f>
        <v>monocarbonate</v>
      </c>
      <c r="M56" s="115" t="str">
        <f>$AN$96</f>
        <v>calcite</v>
      </c>
      <c r="N56" s="115" t="str">
        <f>$AV$96</f>
        <v>thaumasite</v>
      </c>
      <c r="O56" s="25" t="str">
        <f>$BD$96</f>
        <v>calcite</v>
      </c>
      <c r="P56" s="115" t="str">
        <f>$H$112</f>
        <v>Hemisulphate</v>
      </c>
      <c r="Q56" s="115" t="str">
        <f>$P$112</f>
        <v>Hemicarbonate</v>
      </c>
      <c r="R56" s="115" t="str">
        <f>$X$112</f>
        <v>Hemicarbonate</v>
      </c>
      <c r="S56" s="115" t="str">
        <f>$AF$112</f>
        <v>monocarbonate</v>
      </c>
      <c r="T56" s="115" t="str">
        <f>$AN$112</f>
        <v>calcite</v>
      </c>
      <c r="U56" s="115" t="str">
        <f>$AV$112</f>
        <v>thaumasite</v>
      </c>
      <c r="V56" s="25" t="str">
        <f>$BD$112</f>
        <v>calcite</v>
      </c>
      <c r="W56" s="115" t="str">
        <f>$H$129</f>
        <v>Hemisulphate</v>
      </c>
      <c r="X56" s="115" t="str">
        <f>$P$129</f>
        <v>Hemicarbonate</v>
      </c>
      <c r="Y56" s="115" t="str">
        <f>$X$129</f>
        <v>Hemicarbonate</v>
      </c>
      <c r="Z56" s="115" t="str">
        <f>$AF$129</f>
        <v>monocarbonate</v>
      </c>
      <c r="AA56" s="115" t="str">
        <f>$AN$129</f>
        <v>calcite</v>
      </c>
      <c r="AB56" s="115" t="str">
        <f>$AV$129</f>
        <v>thaumasite</v>
      </c>
      <c r="AC56" s="25" t="str">
        <f>$BD$129</f>
        <v>calcite</v>
      </c>
      <c r="AD56" s="115" t="str">
        <f>$H$146</f>
        <v>Hemisulphate</v>
      </c>
      <c r="AE56" s="115" t="str">
        <f>$P$146</f>
        <v>Hemicarbonate</v>
      </c>
      <c r="AF56" s="115" t="str">
        <f>$X$146</f>
        <v>Hemicarbonate</v>
      </c>
      <c r="AG56" s="115" t="str">
        <f>$AF$146</f>
        <v>monocarbonate</v>
      </c>
      <c r="AH56" s="115" t="str">
        <f>$AN$146</f>
        <v>calcite</v>
      </c>
      <c r="AI56" s="115" t="str">
        <f>$AV$146</f>
        <v>thaumasite</v>
      </c>
      <c r="AJ56" s="25" t="str">
        <f>$BD$146</f>
        <v>calcite</v>
      </c>
      <c r="AK56" s="115" t="str">
        <f>$H$180</f>
        <v>calcite</v>
      </c>
      <c r="AL56" s="115" t="str">
        <f>$H$163</f>
        <v>thaumasite</v>
      </c>
      <c r="AM56" s="115" t="str">
        <f>$P$180</f>
        <v>calcite</v>
      </c>
      <c r="AN56" s="115" t="str">
        <f>$X$180</f>
        <v>calcite</v>
      </c>
      <c r="AO56" s="115" t="str">
        <f>$AF$180</f>
        <v>calcite</v>
      </c>
      <c r="AP56" s="115" t="str">
        <f>$AN$180</f>
        <v>calcite</v>
      </c>
      <c r="AQ56" s="115" t="str">
        <f>$AV$180</f>
        <v>calcite</v>
      </c>
      <c r="AR56" s="115" t="str">
        <f>$BD$180</f>
        <v>calcite</v>
      </c>
      <c r="AS56" s="115" t="str">
        <f>$BL$180</f>
        <v>calcite</v>
      </c>
      <c r="AT56" s="115" t="str">
        <f>$BT$180</f>
        <v>calcite</v>
      </c>
      <c r="AU56" s="115" t="str">
        <f>$P$163</f>
        <v>thaumasite</v>
      </c>
      <c r="AV56" s="115" t="str">
        <f>$X$163</f>
        <v>thaumasite</v>
      </c>
      <c r="AW56" s="115" t="str">
        <f>$AF$163</f>
        <v>thaumasite</v>
      </c>
      <c r="AX56" s="115" t="str">
        <f>$AN$163</f>
        <v>thaumasite</v>
      </c>
      <c r="AY56" s="115" t="str">
        <f>$AV$163</f>
        <v>thaumasite</v>
      </c>
      <c r="AZ56" s="115" t="str">
        <f>$BD$163</f>
        <v>thaumasite</v>
      </c>
      <c r="BA56" s="115" t="str">
        <f>$BL$163</f>
        <v>thaumasite</v>
      </c>
      <c r="BB56" s="115" t="str">
        <f>$BT$163</f>
        <v>thaumasite</v>
      </c>
      <c r="BC56" s="115" t="str">
        <f>$H$180</f>
        <v>calcite</v>
      </c>
      <c r="BD56" s="115" t="str">
        <f>$P$180</f>
        <v>calcite</v>
      </c>
      <c r="BE56" s="115" t="str">
        <f>$X$180</f>
        <v>calcite</v>
      </c>
      <c r="BF56" s="115" t="str">
        <f>$AF$180</f>
        <v>calcite</v>
      </c>
      <c r="BG56" s="115" t="str">
        <f>$AN$180</f>
        <v>calcite</v>
      </c>
      <c r="BH56" s="115" t="str">
        <f>$AV$180</f>
        <v>calcite</v>
      </c>
      <c r="BI56" s="115" t="str">
        <f>$BD$180</f>
        <v>calcite</v>
      </c>
      <c r="BJ56" s="115" t="str">
        <f>$BL$180</f>
        <v>calcite</v>
      </c>
      <c r="BK56" s="116" t="str">
        <f>$BT$180</f>
        <v>calcite</v>
      </c>
    </row>
    <row r="57" spans="2:63" hidden="1" outlineLevel="1" x14ac:dyDescent="0.2">
      <c r="B57" s="119">
        <f t="shared" ref="B57:B62" si="9">$B87</f>
        <v>-27.366617168173327</v>
      </c>
      <c r="C57" s="120">
        <f t="shared" ref="C57:C62" si="10">$J87</f>
        <v>31.685088845698811</v>
      </c>
      <c r="D57" s="120">
        <f t="shared" ref="D57:D62" si="11">$R87</f>
        <v>-30.938464644922796</v>
      </c>
      <c r="E57" s="120">
        <f t="shared" ref="E57:E62" si="12">$Z87</f>
        <v>7.8211178240330312</v>
      </c>
      <c r="F57" s="120">
        <f t="shared" ref="F57:F62" si="13">$AH87</f>
        <v>5.4065074034941105</v>
      </c>
      <c r="G57" s="120">
        <f t="shared" ref="G57:G62" si="14">$AP87</f>
        <v>5.4573050092502271</v>
      </c>
      <c r="H57" s="120">
        <f t="shared" ref="H57:H62" si="15">$AX87</f>
        <v>-8.1774845636028317</v>
      </c>
      <c r="I57" s="120">
        <f t="shared" ref="I57:I62" si="16">$B104</f>
        <v>-27.094233651337511</v>
      </c>
      <c r="J57" s="120">
        <f t="shared" ref="J57:J62" si="17">$J104</f>
        <v>32.502239396206249</v>
      </c>
      <c r="K57" s="120">
        <f t="shared" ref="K57:K62" si="18">$R104</f>
        <v>-31.029259150534735</v>
      </c>
      <c r="L57" s="120">
        <f t="shared" ref="L57:L62" si="19">$Z104</f>
        <v>8.6382683745404663</v>
      </c>
      <c r="M57" s="120">
        <f t="shared" ref="M57:M62" si="20">$AH104</f>
        <v>6.1328634483896138</v>
      </c>
      <c r="N57" s="120">
        <f t="shared" ref="N57:N62" si="21">$AP104</f>
        <v>2.000517721899925</v>
      </c>
      <c r="O57" s="120">
        <f t="shared" ref="O57:O62" si="22">$AX104</f>
        <v>-7.8938167184104415</v>
      </c>
      <c r="P57" s="120">
        <f t="shared" ref="P57:P62" si="23">$B120</f>
        <v>-22.47699297747549</v>
      </c>
      <c r="Q57" s="120">
        <f t="shared" ref="Q57:Q62" si="24">$J120</f>
        <v>23.309761481416011</v>
      </c>
      <c r="R57" s="120">
        <f t="shared" ref="R57:R62" si="25">$R120</f>
        <v>-30.714226475484359</v>
      </c>
      <c r="S57" s="120">
        <f t="shared" ref="S57:S62" si="26">$Z120</f>
        <v>3.1171706169295845</v>
      </c>
      <c r="T57" s="120">
        <f t="shared" ref="T57:T62" si="27">$AH120</f>
        <v>4.4176248059205889</v>
      </c>
      <c r="U57" s="120">
        <f t="shared" ref="U57:U62" si="28">$AP120</f>
        <v>41.473826474683705</v>
      </c>
      <c r="V57" s="120">
        <f t="shared" ref="V57:V62" si="29">$AX120</f>
        <v>-9.0086823374499758</v>
      </c>
      <c r="W57" s="120">
        <f t="shared" ref="W57:W62" si="30">$B137</f>
        <v>-28.117591209544052</v>
      </c>
      <c r="X57" s="120">
        <f t="shared" ref="X57:X62" si="31">$J137</f>
        <v>24.942036740596169</v>
      </c>
      <c r="Y57" s="120">
        <f t="shared" ref="Y57:Y62" si="32">$R137</f>
        <v>-28.271427465480066</v>
      </c>
      <c r="Z57" s="120">
        <f t="shared" ref="Z57:Z62" si="33">$Z137</f>
        <v>4.2050688183210738</v>
      </c>
      <c r="AA57" s="120">
        <f t="shared" ref="AA57:AA62" si="34">$AH137</f>
        <v>4.7073371637391972</v>
      </c>
      <c r="AB57" s="120">
        <f t="shared" ref="AB57:AB62" si="35">$AP137</f>
        <v>-29.50570119087245</v>
      </c>
      <c r="AC57" s="120">
        <f t="shared" ref="AC57:AC62" si="36">$AX137</f>
        <v>2.4962411028461986</v>
      </c>
      <c r="AD57" s="120">
        <f t="shared" ref="AD57:AD62" si="37">$B154</f>
        <v>-28.728534752352395</v>
      </c>
      <c r="AE57" s="120">
        <f t="shared" ref="AE57:AE62" si="38">$J154</f>
        <v>22.586231120360424</v>
      </c>
      <c r="AF57" s="120">
        <f t="shared" ref="AF57:AF62" si="39">$R154</f>
        <v>-33.772909235709797</v>
      </c>
      <c r="AG57" s="120">
        <f t="shared" ref="AG57:AG62" si="40">$Z154</f>
        <v>2.3018557519445082</v>
      </c>
      <c r="AH57" s="120">
        <f t="shared" ref="AH57:AH62" si="41">$AH154</f>
        <v>3.4496688669805096</v>
      </c>
      <c r="AI57" s="120">
        <f t="shared" ref="AI57:AI62" si="42">$AP154</f>
        <v>-12.485100169029899</v>
      </c>
      <c r="AJ57" s="120">
        <f t="shared" ref="AJ57:AJ62" si="43">$AX154</f>
        <v>-3.6416975645998377</v>
      </c>
      <c r="AK57" s="120">
        <f t="shared" ref="AK57:AK62" si="44">$B188</f>
        <v>-15.752926802514828</v>
      </c>
      <c r="AL57" s="120">
        <f t="shared" ref="AL57:AL62" si="45">$B171</f>
        <v>-33.569308654016048</v>
      </c>
      <c r="AM57" s="120">
        <f t="shared" ref="AM57:AM62" si="46">$J188</f>
        <v>-16.873996328504745</v>
      </c>
      <c r="AN57" s="120">
        <f t="shared" ref="AN57:AN62" si="47">$R188</f>
        <v>-15.78433833401774</v>
      </c>
      <c r="AO57" s="120">
        <f t="shared" ref="AO57:AO62" si="48">$Z188</f>
        <v>-16.444043531326884</v>
      </c>
      <c r="AP57" s="120">
        <f t="shared" ref="AP57:AP62" si="49">$AH188</f>
        <v>-15.903142454887046</v>
      </c>
      <c r="AQ57" s="120">
        <f t="shared" ref="AQ57:AQ62" si="50">$AP188</f>
        <v>-13.302271821513848</v>
      </c>
      <c r="AR57" s="120">
        <f t="shared" ref="AR57:AR62" si="51">$AX188</f>
        <v>-12.628426944418095</v>
      </c>
      <c r="AS57" s="120">
        <f t="shared" ref="AS57:AS62" si="52">CC188</f>
        <v>0</v>
      </c>
      <c r="AT57" s="120">
        <f t="shared" ref="AT57:AT62" si="53">$BN188</f>
        <v>-12.838241689461846</v>
      </c>
      <c r="AU57" s="120">
        <f t="shared" ref="AU57:AU62" si="54">$J171</f>
        <v>-27.912569792190489</v>
      </c>
      <c r="AV57" s="120">
        <f t="shared" ref="AV57:AV62" si="55">$R171</f>
        <v>-17.912355913164852</v>
      </c>
      <c r="AW57" s="120">
        <f t="shared" ref="AW57:AW62" si="56">$Z171</f>
        <v>-25.566529324713592</v>
      </c>
      <c r="AX57" s="120">
        <f t="shared" ref="AX57:AX62" si="57">$AH171</f>
        <v>4.8007784436120247</v>
      </c>
      <c r="AY57" s="120">
        <f t="shared" ref="AY57:AY62" si="58">$AP171</f>
        <v>-62.786438451260871</v>
      </c>
      <c r="AZ57" s="120">
        <f t="shared" ref="AZ57:AZ62" si="59">$AX171</f>
        <v>-85.055319709839097</v>
      </c>
      <c r="BA57" s="120">
        <f t="shared" ref="BA57:BA62" si="60">$BF171</f>
        <v>48.890908866001098</v>
      </c>
      <c r="BB57" s="115">
        <f t="shared" ref="BB57:BB62" si="61">$BN171</f>
        <v>-37.30568868299715</v>
      </c>
      <c r="BC57" s="120">
        <f t="shared" ref="BC57:BC62" si="62">$B188</f>
        <v>-15.752926802514828</v>
      </c>
      <c r="BD57" s="120">
        <f t="shared" ref="BD57:BD62" si="63">$J188</f>
        <v>-16.873996328504745</v>
      </c>
      <c r="BE57" s="120">
        <f t="shared" ref="BE57:BE62" si="64">$R188</f>
        <v>-15.78433833401774</v>
      </c>
      <c r="BF57" s="120">
        <f t="shared" ref="BF57:BF62" si="65">$Z188</f>
        <v>-16.444043531326884</v>
      </c>
      <c r="BG57" s="120">
        <f t="shared" ref="BG57:BG62" si="66">$AH188</f>
        <v>-15.903142454887046</v>
      </c>
      <c r="BH57" s="120">
        <f t="shared" ref="BH57:BH62" si="67">$AP188</f>
        <v>-13.302271821513848</v>
      </c>
      <c r="BI57" s="120">
        <f t="shared" ref="BI57:BI62" si="68">$AX188</f>
        <v>-12.628426944418095</v>
      </c>
      <c r="BJ57" s="120">
        <f t="shared" ref="BJ57:BJ62" si="69">$BF188</f>
        <v>-14.829276162135528</v>
      </c>
      <c r="BK57" s="116">
        <f t="shared" ref="BK57:BK62" si="70">$BN188</f>
        <v>-12.838241689461846</v>
      </c>
    </row>
    <row r="58" spans="2:63" hidden="1" outlineLevel="1" x14ac:dyDescent="0.2">
      <c r="B58" s="119">
        <f t="shared" si="9"/>
        <v>-17.397087263383376</v>
      </c>
      <c r="C58" s="120">
        <f t="shared" si="10"/>
        <v>23.080580926618897</v>
      </c>
      <c r="D58" s="120">
        <f t="shared" si="11"/>
        <v>-2.6750382435716822</v>
      </c>
      <c r="E58" s="120">
        <f t="shared" si="12"/>
        <v>13.265881580077764</v>
      </c>
      <c r="F58" s="120">
        <f t="shared" si="13"/>
        <v>3.3351473803509211</v>
      </c>
      <c r="G58" s="120">
        <f t="shared" si="14"/>
        <v>7.8427865982928671</v>
      </c>
      <c r="H58" s="120">
        <f t="shared" si="15"/>
        <v>12.156381675910476</v>
      </c>
      <c r="I58" s="120">
        <f t="shared" si="16"/>
        <v>-16.276836856495972</v>
      </c>
      <c r="J58" s="120">
        <f t="shared" si="17"/>
        <v>24.574248135802101</v>
      </c>
      <c r="K58" s="120">
        <f t="shared" si="18"/>
        <v>-1.5547878366842793</v>
      </c>
      <c r="L58" s="120">
        <f t="shared" si="19"/>
        <v>14.759548789260965</v>
      </c>
      <c r="M58" s="120">
        <f t="shared" si="20"/>
        <v>4.4553977872383239</v>
      </c>
      <c r="N58" s="120">
        <f t="shared" si="21"/>
        <v>8.9363994147879318</v>
      </c>
      <c r="O58" s="120">
        <f t="shared" si="22"/>
        <v>11.176387074699267</v>
      </c>
      <c r="P58" s="120">
        <f t="shared" si="23"/>
        <v>72.212034001087844</v>
      </c>
      <c r="Q58" s="120">
        <f t="shared" si="24"/>
        <v>-100.6370042710582</v>
      </c>
      <c r="R58" s="120">
        <f t="shared" si="25"/>
        <v>6.8978016500985424</v>
      </c>
      <c r="S58" s="120">
        <f t="shared" si="26"/>
        <v>-60.44363051660325</v>
      </c>
      <c r="T58" s="120">
        <f t="shared" si="27"/>
        <v>-19.766330481590092</v>
      </c>
      <c r="U58" s="120">
        <f t="shared" si="28"/>
        <v>18.149653464599531</v>
      </c>
      <c r="V58" s="120">
        <f t="shared" si="29"/>
        <v>-43.862712967156327</v>
      </c>
      <c r="W58" s="120">
        <f t="shared" si="30"/>
        <v>4.1802879822572372</v>
      </c>
      <c r="X58" s="120">
        <f t="shared" si="31"/>
        <v>46.892336115972341</v>
      </c>
      <c r="Y58" s="120">
        <f t="shared" si="32"/>
        <v>23.774557687553994</v>
      </c>
      <c r="Z58" s="120">
        <f t="shared" si="33"/>
        <v>37.883476481353156</v>
      </c>
      <c r="AA58" s="120">
        <f t="shared" si="34"/>
        <v>31.773797327060585</v>
      </c>
      <c r="AB58" s="120">
        <f t="shared" si="35"/>
        <v>-8.0055383429243108</v>
      </c>
      <c r="AC58" s="120">
        <f t="shared" si="36"/>
        <v>27.805512092210019</v>
      </c>
      <c r="AD58" s="120">
        <f t="shared" si="37"/>
        <v>-2.2044143770880549</v>
      </c>
      <c r="AE58" s="120">
        <f t="shared" si="38"/>
        <v>-26.891694454662591</v>
      </c>
      <c r="AF58" s="120">
        <f t="shared" si="39"/>
        <v>-12.537168969649453</v>
      </c>
      <c r="AG58" s="120">
        <f t="shared" si="40"/>
        <v>-21.72531715838188</v>
      </c>
      <c r="AH58" s="120">
        <f t="shared" si="41"/>
        <v>-16.755452241506617</v>
      </c>
      <c r="AI58" s="120">
        <f t="shared" si="42"/>
        <v>-6.2720632141526522</v>
      </c>
      <c r="AJ58" s="120">
        <f t="shared" si="43"/>
        <v>-9.5308423895770407</v>
      </c>
      <c r="AK58" s="120">
        <f t="shared" si="44"/>
        <v>18.021960553012065</v>
      </c>
      <c r="AL58" s="120">
        <f t="shared" si="45"/>
        <v>-21.254507182272892</v>
      </c>
      <c r="AM58" s="120">
        <f t="shared" si="46"/>
        <v>-28.473731078554252</v>
      </c>
      <c r="AN58" s="120">
        <f t="shared" si="47"/>
        <v>15.943416714124243</v>
      </c>
      <c r="AO58" s="120">
        <f t="shared" si="48"/>
        <v>-14.049175782269021</v>
      </c>
      <c r="AP58" s="120">
        <f t="shared" si="49"/>
        <v>-11.529864204086021</v>
      </c>
      <c r="AQ58" s="120">
        <f t="shared" si="50"/>
        <v>35.855053332318548</v>
      </c>
      <c r="AR58" s="120">
        <f t="shared" si="51"/>
        <v>39.84283888407689</v>
      </c>
      <c r="AS58" s="120">
        <f t="shared" si="52"/>
        <v>0</v>
      </c>
      <c r="AT58" s="120">
        <f t="shared" si="53"/>
        <v>26.267602863185239</v>
      </c>
      <c r="AU58" s="120">
        <f t="shared" si="54"/>
        <v>-9.6475260835406367</v>
      </c>
      <c r="AV58" s="120">
        <f t="shared" si="55"/>
        <v>15.837614338750768</v>
      </c>
      <c r="AW58" s="120">
        <f t="shared" si="56"/>
        <v>-13.648680663216769</v>
      </c>
      <c r="AX58" s="120">
        <f t="shared" si="57"/>
        <v>-14.981865369164854</v>
      </c>
      <c r="AY58" s="120">
        <f t="shared" si="58"/>
        <v>-37.163618289554648</v>
      </c>
      <c r="AZ58" s="120">
        <f t="shared" si="59"/>
        <v>-50.186502360112826</v>
      </c>
      <c r="BA58" s="120">
        <f t="shared" si="60"/>
        <v>6.4444767829349843</v>
      </c>
      <c r="BB58" s="115">
        <f t="shared" si="61"/>
        <v>26.267602863185235</v>
      </c>
      <c r="BC58" s="120">
        <f t="shared" si="62"/>
        <v>18.021960553012065</v>
      </c>
      <c r="BD58" s="120">
        <f t="shared" si="63"/>
        <v>-28.473731078554252</v>
      </c>
      <c r="BE58" s="120">
        <f t="shared" si="64"/>
        <v>15.943416714124243</v>
      </c>
      <c r="BF58" s="120">
        <f t="shared" si="65"/>
        <v>-14.049175782269021</v>
      </c>
      <c r="BG58" s="120">
        <f t="shared" si="66"/>
        <v>-11.529864204086021</v>
      </c>
      <c r="BH58" s="120">
        <f t="shared" si="67"/>
        <v>35.855053332318548</v>
      </c>
      <c r="BI58" s="120">
        <f t="shared" si="68"/>
        <v>39.84283888407689</v>
      </c>
      <c r="BJ58" s="120">
        <f t="shared" si="69"/>
        <v>-102.5544343422627</v>
      </c>
      <c r="BK58" s="116">
        <f t="shared" si="70"/>
        <v>26.267602863185239</v>
      </c>
    </row>
    <row r="59" spans="2:63" hidden="1" outlineLevel="1" x14ac:dyDescent="0.2">
      <c r="B59" s="119">
        <f t="shared" si="9"/>
        <v>23.211671140872483</v>
      </c>
      <c r="C59" s="120">
        <f t="shared" si="10"/>
        <v>23.211671140872483</v>
      </c>
      <c r="D59" s="120">
        <f t="shared" si="11"/>
        <v>23.211671140872483</v>
      </c>
      <c r="E59" s="120">
        <f t="shared" si="12"/>
        <v>23.211671140872483</v>
      </c>
      <c r="F59" s="120">
        <f t="shared" si="13"/>
        <v>23.211671140872483</v>
      </c>
      <c r="G59" s="120">
        <f t="shared" si="14"/>
        <v>4.5319476602481039</v>
      </c>
      <c r="H59" s="120">
        <f t="shared" si="15"/>
        <v>-13.343654037544447</v>
      </c>
      <c r="I59" s="120">
        <f t="shared" si="16"/>
        <v>23.72554180108822</v>
      </c>
      <c r="J59" s="120">
        <f t="shared" si="17"/>
        <v>23.72554180108822</v>
      </c>
      <c r="K59" s="120">
        <f t="shared" si="18"/>
        <v>23.72554180108822</v>
      </c>
      <c r="L59" s="120">
        <f t="shared" si="19"/>
        <v>23.72554180108822</v>
      </c>
      <c r="M59" s="120">
        <f t="shared" si="20"/>
        <v>23.72554180108822</v>
      </c>
      <c r="N59" s="120">
        <f t="shared" si="21"/>
        <v>-1.9697248488803449</v>
      </c>
      <c r="O59" s="120">
        <f t="shared" si="22"/>
        <v>-11.860053906789126</v>
      </c>
      <c r="P59" s="120">
        <f t="shared" si="23"/>
        <v>-62.45536267661565</v>
      </c>
      <c r="Q59" s="120">
        <f t="shared" si="24"/>
        <v>143.83001153359405</v>
      </c>
      <c r="R59" s="120">
        <f t="shared" si="25"/>
        <v>15.49341271988361</v>
      </c>
      <c r="S59" s="120">
        <f t="shared" si="26"/>
        <v>95.86153436651766</v>
      </c>
      <c r="T59" s="120">
        <f t="shared" si="27"/>
        <v>47.31551904896601</v>
      </c>
      <c r="U59" s="120">
        <f t="shared" si="28"/>
        <v>47.315519048966017</v>
      </c>
      <c r="V59" s="120">
        <f t="shared" si="29"/>
        <v>47.315519048966031</v>
      </c>
      <c r="W59" s="120">
        <f t="shared" si="30"/>
        <v>33.299272441417131</v>
      </c>
      <c r="X59" s="120">
        <f t="shared" si="31"/>
        <v>-57.293932140081949</v>
      </c>
      <c r="Y59" s="120">
        <f t="shared" si="32"/>
        <v>-8.2606096433716587</v>
      </c>
      <c r="Z59" s="120">
        <f t="shared" si="33"/>
        <v>-38.185940376960687</v>
      </c>
      <c r="AA59" s="120">
        <f t="shared" si="34"/>
        <v>-25.227174929343608</v>
      </c>
      <c r="AB59" s="120">
        <f t="shared" si="35"/>
        <v>-25.227174929343608</v>
      </c>
      <c r="AC59" s="120">
        <f t="shared" si="36"/>
        <v>-25.227174929343612</v>
      </c>
      <c r="AD59" s="120">
        <f t="shared" si="37"/>
        <v>42.165756277561549</v>
      </c>
      <c r="AE59" s="120">
        <f t="shared" si="38"/>
        <v>42.165756277561506</v>
      </c>
      <c r="AF59" s="120">
        <f t="shared" si="39"/>
        <v>42.165756277561506</v>
      </c>
      <c r="AG59" s="120">
        <f t="shared" si="40"/>
        <v>42.165756277561506</v>
      </c>
      <c r="AH59" s="120">
        <f t="shared" si="41"/>
        <v>42.165756277561499</v>
      </c>
      <c r="AI59" s="120">
        <f t="shared" si="42"/>
        <v>-1.9697248488803449</v>
      </c>
      <c r="AJ59" s="120">
        <f t="shared" si="43"/>
        <v>13.1072965159264</v>
      </c>
      <c r="AK59" s="120">
        <f t="shared" si="44"/>
        <v>-14.818139879891683</v>
      </c>
      <c r="AL59" s="120">
        <f t="shared" si="45"/>
        <v>-20.251917862868144</v>
      </c>
      <c r="AM59" s="120">
        <f t="shared" si="46"/>
        <v>39.519639949872939</v>
      </c>
      <c r="AN59" s="120">
        <f t="shared" si="47"/>
        <v>-16.210676806550939</v>
      </c>
      <c r="AO59" s="120">
        <f t="shared" si="48"/>
        <v>5.8760073617766135</v>
      </c>
      <c r="AP59" s="120">
        <f t="shared" si="49"/>
        <v>-23.012366832826778</v>
      </c>
      <c r="AQ59" s="120">
        <f t="shared" si="50"/>
        <v>4.0175253847645855</v>
      </c>
      <c r="AR59" s="120">
        <f t="shared" si="51"/>
        <v>-21.661268868954053</v>
      </c>
      <c r="AS59" s="120">
        <f t="shared" si="52"/>
        <v>0</v>
      </c>
      <c r="AT59" s="120">
        <f t="shared" si="53"/>
        <v>-36.222171798541687</v>
      </c>
      <c r="AU59" s="120">
        <f t="shared" si="54"/>
        <v>-18.040376793374133</v>
      </c>
      <c r="AV59" s="120">
        <f t="shared" si="55"/>
        <v>-15.476739277628536</v>
      </c>
      <c r="AW59" s="120">
        <f t="shared" si="56"/>
        <v>8.3991536485694986</v>
      </c>
      <c r="AX59" s="120">
        <f t="shared" si="57"/>
        <v>-0.26604387046889144</v>
      </c>
      <c r="AY59" s="120">
        <f t="shared" si="58"/>
        <v>13.606531018875827</v>
      </c>
      <c r="AZ59" s="120">
        <f t="shared" si="59"/>
        <v>-99.874874088396112</v>
      </c>
      <c r="BA59" s="120">
        <f t="shared" si="60"/>
        <v>47.315519048966024</v>
      </c>
      <c r="BB59" s="115">
        <f t="shared" si="61"/>
        <v>-48.310176944706228</v>
      </c>
      <c r="BC59" s="120">
        <f t="shared" si="62"/>
        <v>-14.818139879891683</v>
      </c>
      <c r="BD59" s="120">
        <f t="shared" si="63"/>
        <v>39.519639949872939</v>
      </c>
      <c r="BE59" s="120">
        <f t="shared" si="64"/>
        <v>-16.210676806550939</v>
      </c>
      <c r="BF59" s="120">
        <f t="shared" si="65"/>
        <v>5.8760073617766135</v>
      </c>
      <c r="BG59" s="120">
        <f t="shared" si="66"/>
        <v>-23.012366832826778</v>
      </c>
      <c r="BH59" s="120">
        <f t="shared" si="67"/>
        <v>4.0175253847645855</v>
      </c>
      <c r="BI59" s="120">
        <f t="shared" si="68"/>
        <v>-21.661268868954053</v>
      </c>
      <c r="BJ59" s="120">
        <f t="shared" si="69"/>
        <v>307.48336718665678</v>
      </c>
      <c r="BK59" s="116">
        <f t="shared" si="70"/>
        <v>-36.222171798541687</v>
      </c>
    </row>
    <row r="60" spans="2:63" hidden="1" outlineLevel="1" x14ac:dyDescent="0.2">
      <c r="B60" s="119">
        <f t="shared" si="9"/>
        <v>-206.66145571636207</v>
      </c>
      <c r="C60" s="120">
        <f t="shared" si="10"/>
        <v>340.08885595071598</v>
      </c>
      <c r="D60" s="120">
        <f t="shared" si="11"/>
        <v>-200.9007470556096</v>
      </c>
      <c r="E60" s="120">
        <f t="shared" si="12"/>
        <v>-151.31032285739786</v>
      </c>
      <c r="F60" s="120">
        <f t="shared" si="13"/>
        <v>83.128995932105909</v>
      </c>
      <c r="G60" s="120">
        <f t="shared" si="14"/>
        <v>16.716107446731879</v>
      </c>
      <c r="H60" s="120">
        <f t="shared" si="15"/>
        <v>16.716107446731879</v>
      </c>
      <c r="I60" s="120">
        <f t="shared" si="16"/>
        <v>-208.56796030030102</v>
      </c>
      <c r="J60" s="120">
        <f t="shared" si="17"/>
        <v>343.22626229757964</v>
      </c>
      <c r="K60" s="120">
        <f t="shared" si="18"/>
        <v>-205.60685657590506</v>
      </c>
      <c r="L60" s="120">
        <f t="shared" si="19"/>
        <v>-156.99991395704777</v>
      </c>
      <c r="M60" s="120">
        <f t="shared" si="20"/>
        <v>83.128995932105909</v>
      </c>
      <c r="N60" s="120">
        <f t="shared" si="21"/>
        <v>16.716107446731879</v>
      </c>
      <c r="O60" s="120">
        <f t="shared" si="22"/>
        <v>19.878166016468896</v>
      </c>
      <c r="P60" s="120">
        <f t="shared" si="23"/>
        <v>-215.49316735404304</v>
      </c>
      <c r="Q60" s="120">
        <f t="shared" si="24"/>
        <v>327.34394741581059</v>
      </c>
      <c r="R60" s="120">
        <f t="shared" si="25"/>
        <v>-207.23975083670476</v>
      </c>
      <c r="S60" s="120">
        <f t="shared" si="26"/>
        <v>-139.7010760756784</v>
      </c>
      <c r="T60" s="120">
        <f t="shared" si="27"/>
        <v>83.128995932105909</v>
      </c>
      <c r="U60" s="120">
        <f t="shared" si="28"/>
        <v>4.1011190439646805</v>
      </c>
      <c r="V60" s="120">
        <f t="shared" si="29"/>
        <v>32.014355995318297</v>
      </c>
      <c r="W60" s="120">
        <f t="shared" si="30"/>
        <v>-237.57545822117658</v>
      </c>
      <c r="X60" s="120">
        <f t="shared" si="31"/>
        <v>269.62893127375293</v>
      </c>
      <c r="Y60" s="120">
        <f t="shared" si="32"/>
        <v>-193.71760369492284</v>
      </c>
      <c r="Z60" s="120">
        <f t="shared" si="33"/>
        <v>-69.943084684999008</v>
      </c>
      <c r="AA60" s="120">
        <f t="shared" si="34"/>
        <v>83.128995932105909</v>
      </c>
      <c r="AB60" s="120">
        <f t="shared" si="35"/>
        <v>92.406037863335101</v>
      </c>
      <c r="AC60" s="120">
        <f t="shared" si="36"/>
        <v>74.711239820068869</v>
      </c>
      <c r="AD60" s="120">
        <f t="shared" si="37"/>
        <v>-239.44629615516737</v>
      </c>
      <c r="AE60" s="120">
        <f t="shared" si="38"/>
        <v>295.53049686540999</v>
      </c>
      <c r="AF60" s="120">
        <f t="shared" si="39"/>
        <v>-219.98194948626269</v>
      </c>
      <c r="AG60" s="120">
        <f t="shared" si="40"/>
        <v>-107.89067971715951</v>
      </c>
      <c r="AH60" s="120">
        <f t="shared" si="41"/>
        <v>83.128995932105909</v>
      </c>
      <c r="AI60" s="120">
        <f t="shared" si="42"/>
        <v>67.176061057800695</v>
      </c>
      <c r="AJ60" s="120">
        <f t="shared" si="43"/>
        <v>54.067308769591556</v>
      </c>
      <c r="AK60" s="120">
        <f t="shared" si="44"/>
        <v>-0.97754281390862019</v>
      </c>
      <c r="AL60" s="120">
        <f t="shared" si="45"/>
        <v>7.087679592741452</v>
      </c>
      <c r="AM60" s="120">
        <f t="shared" si="46"/>
        <v>-7.6985614861170184</v>
      </c>
      <c r="AN60" s="120">
        <f t="shared" si="47"/>
        <v>2.5249494831413912</v>
      </c>
      <c r="AO60" s="120">
        <f t="shared" si="48"/>
        <v>11.090563008516227</v>
      </c>
      <c r="AP60" s="120">
        <f t="shared" si="49"/>
        <v>36.918724548496783</v>
      </c>
      <c r="AQ60" s="120">
        <f t="shared" si="50"/>
        <v>-40.096955838872361</v>
      </c>
      <c r="AR60" s="120">
        <f t="shared" si="51"/>
        <v>-19.079792014007818</v>
      </c>
      <c r="AS60" s="120">
        <f t="shared" si="52"/>
        <v>0</v>
      </c>
      <c r="AT60" s="120">
        <f t="shared" si="53"/>
        <v>9.2661616815152232</v>
      </c>
      <c r="AU60" s="120">
        <f t="shared" si="54"/>
        <v>2.0777760401561625</v>
      </c>
      <c r="AV60" s="120">
        <f t="shared" si="55"/>
        <v>-12.918086218154919</v>
      </c>
      <c r="AW60" s="120">
        <f t="shared" si="56"/>
        <v>-16.707368474572181</v>
      </c>
      <c r="AX60" s="120">
        <f t="shared" si="57"/>
        <v>36.918724548496776</v>
      </c>
      <c r="AY60" s="120">
        <f t="shared" si="58"/>
        <v>-53.244293008341359</v>
      </c>
      <c r="AZ60" s="120">
        <f t="shared" si="59"/>
        <v>36.918724548496783</v>
      </c>
      <c r="BA60" s="120">
        <f t="shared" si="60"/>
        <v>21.420047495879125</v>
      </c>
      <c r="BB60" s="115">
        <f t="shared" si="61"/>
        <v>-24.858144475406075</v>
      </c>
      <c r="BC60" s="120">
        <f t="shared" si="62"/>
        <v>-0.97754281390862019</v>
      </c>
      <c r="BD60" s="120">
        <f t="shared" si="63"/>
        <v>-7.6985614861170184</v>
      </c>
      <c r="BE60" s="120">
        <f t="shared" si="64"/>
        <v>2.5249494831413912</v>
      </c>
      <c r="BF60" s="120">
        <f t="shared" si="65"/>
        <v>11.090563008516227</v>
      </c>
      <c r="BG60" s="120">
        <f t="shared" si="66"/>
        <v>36.918724548496783</v>
      </c>
      <c r="BH60" s="120">
        <f t="shared" si="67"/>
        <v>-40.096955838872361</v>
      </c>
      <c r="BI60" s="120">
        <f t="shared" si="68"/>
        <v>-19.079792014007818</v>
      </c>
      <c r="BJ60" s="120">
        <f t="shared" si="69"/>
        <v>-203.62630562556154</v>
      </c>
      <c r="BK60" s="116">
        <f t="shared" si="70"/>
        <v>9.2661616815152232</v>
      </c>
    </row>
    <row r="61" spans="2:63" hidden="1" outlineLevel="1" x14ac:dyDescent="0.2">
      <c r="B61" s="119">
        <f t="shared" si="9"/>
        <v>91.574611594541878</v>
      </c>
      <c r="C61" s="120">
        <f t="shared" si="10"/>
        <v>-411.22263734633634</v>
      </c>
      <c r="D61" s="120">
        <f t="shared" si="11"/>
        <v>218.14613832080136</v>
      </c>
      <c r="E61" s="120">
        <f t="shared" si="12"/>
        <v>83.128995932105909</v>
      </c>
      <c r="F61" s="120">
        <f t="shared" si="13"/>
        <v>-30.078962842140314</v>
      </c>
      <c r="G61" s="120">
        <f t="shared" si="14"/>
        <v>13.364900678065922</v>
      </c>
      <c r="H61" s="120">
        <f t="shared" si="15"/>
        <v>98.836110858832498</v>
      </c>
      <c r="I61" s="120">
        <f t="shared" si="16"/>
        <v>91.574611594541878</v>
      </c>
      <c r="J61" s="120">
        <f t="shared" si="17"/>
        <v>-417.18473211310641</v>
      </c>
      <c r="K61" s="120">
        <f t="shared" si="18"/>
        <v>221.30892127960561</v>
      </c>
      <c r="L61" s="120">
        <f t="shared" si="19"/>
        <v>83.128995932105909</v>
      </c>
      <c r="M61" s="120">
        <f t="shared" si="20"/>
        <v>-32.943865521883843</v>
      </c>
      <c r="N61" s="120">
        <f t="shared" si="21"/>
        <v>9.9765375123723814</v>
      </c>
      <c r="O61" s="120">
        <f t="shared" si="22"/>
        <v>94.130313859663033</v>
      </c>
      <c r="P61" s="120">
        <f t="shared" si="23"/>
        <v>91.574611594541878</v>
      </c>
      <c r="Q61" s="120">
        <f t="shared" si="24"/>
        <v>-387.00315664219261</v>
      </c>
      <c r="R61" s="120">
        <f t="shared" si="25"/>
        <v>222.40632245977667</v>
      </c>
      <c r="S61" s="120">
        <f t="shared" si="26"/>
        <v>83.128995932105909</v>
      </c>
      <c r="T61" s="120">
        <f t="shared" si="27"/>
        <v>-30.095332510535105</v>
      </c>
      <c r="U61" s="120">
        <f t="shared" si="28"/>
        <v>49.777794270502653</v>
      </c>
      <c r="V61" s="120">
        <f t="shared" si="29"/>
        <v>76.069153661555191</v>
      </c>
      <c r="W61" s="120">
        <f t="shared" si="30"/>
        <v>91.574611594541878</v>
      </c>
      <c r="X61" s="120">
        <f t="shared" si="31"/>
        <v>-277.32581247266972</v>
      </c>
      <c r="Y61" s="120">
        <f t="shared" si="32"/>
        <v>213.31864263379032</v>
      </c>
      <c r="Z61" s="120">
        <f t="shared" si="33"/>
        <v>83.128995932105909</v>
      </c>
      <c r="AA61" s="120">
        <f t="shared" si="34"/>
        <v>-4.9562154697291732</v>
      </c>
      <c r="AB61" s="120">
        <f t="shared" si="35"/>
        <v>-31.555208670024435</v>
      </c>
      <c r="AC61" s="120">
        <f t="shared" si="36"/>
        <v>12.52736171014655</v>
      </c>
      <c r="AD61" s="120">
        <f t="shared" si="37"/>
        <v>91.574611594541878</v>
      </c>
      <c r="AE61" s="120">
        <f t="shared" si="38"/>
        <v>-326.54723029109948</v>
      </c>
      <c r="AF61" s="120">
        <f t="shared" si="39"/>
        <v>230.96983093163013</v>
      </c>
      <c r="AG61" s="120">
        <f t="shared" si="40"/>
        <v>83.128995932105909</v>
      </c>
      <c r="AH61" s="120">
        <f t="shared" si="41"/>
        <v>-26.324571276061462</v>
      </c>
      <c r="AI61" s="120">
        <f t="shared" si="42"/>
        <v>-10.789335578826027</v>
      </c>
      <c r="AJ61" s="120">
        <f t="shared" si="43"/>
        <v>43.249799845274715</v>
      </c>
      <c r="AK61" s="120">
        <f t="shared" si="44"/>
        <v>123.7131352800365</v>
      </c>
      <c r="AL61" s="120">
        <f t="shared" si="45"/>
        <v>-16.318351992296876</v>
      </c>
      <c r="AM61" s="120">
        <f t="shared" si="46"/>
        <v>123.7131352800365</v>
      </c>
      <c r="AN61" s="120">
        <f t="shared" si="47"/>
        <v>123.7131352800365</v>
      </c>
      <c r="AO61" s="120">
        <f t="shared" si="48"/>
        <v>123.7131352800365</v>
      </c>
      <c r="AP61" s="120">
        <f t="shared" si="49"/>
        <v>123.7131352800365</v>
      </c>
      <c r="AQ61" s="120">
        <f t="shared" si="50"/>
        <v>123.7131352800365</v>
      </c>
      <c r="AR61" s="120">
        <f t="shared" si="51"/>
        <v>123.7131352800365</v>
      </c>
      <c r="AS61" s="120">
        <f t="shared" si="52"/>
        <v>0</v>
      </c>
      <c r="AT61" s="120">
        <f t="shared" si="53"/>
        <v>123.7131352800365</v>
      </c>
      <c r="AU61" s="120">
        <f t="shared" si="54"/>
        <v>-10.789335578826027</v>
      </c>
      <c r="AV61" s="120">
        <f t="shared" si="55"/>
        <v>-1.9778608599495371</v>
      </c>
      <c r="AW61" s="120">
        <f t="shared" si="56"/>
        <v>-8.4962659201074189</v>
      </c>
      <c r="AX61" s="120">
        <f t="shared" si="57"/>
        <v>19.786455250527869</v>
      </c>
      <c r="AY61" s="120">
        <f t="shared" si="58"/>
        <v>-43.685548027561047</v>
      </c>
      <c r="AZ61" s="120">
        <f t="shared" si="59"/>
        <v>-66.087794067590096</v>
      </c>
      <c r="BA61" s="120">
        <f t="shared" si="60"/>
        <v>57.091337318379601</v>
      </c>
      <c r="BB61" s="115">
        <f t="shared" si="61"/>
        <v>-22.517406582846853</v>
      </c>
      <c r="BC61" s="120">
        <f t="shared" si="62"/>
        <v>123.7131352800365</v>
      </c>
      <c r="BD61" s="120">
        <f t="shared" si="63"/>
        <v>123.7131352800365</v>
      </c>
      <c r="BE61" s="120">
        <f t="shared" si="64"/>
        <v>123.7131352800365</v>
      </c>
      <c r="BF61" s="120">
        <f t="shared" si="65"/>
        <v>123.7131352800365</v>
      </c>
      <c r="BG61" s="120">
        <f t="shared" si="66"/>
        <v>123.7131352800365</v>
      </c>
      <c r="BH61" s="120">
        <f t="shared" si="67"/>
        <v>123.7131352800365</v>
      </c>
      <c r="BI61" s="120">
        <f t="shared" si="68"/>
        <v>123.7131352800365</v>
      </c>
      <c r="BJ61" s="120">
        <f t="shared" si="69"/>
        <v>123.7131352800365</v>
      </c>
      <c r="BK61" s="116">
        <f t="shared" si="70"/>
        <v>123.7131352800365</v>
      </c>
    </row>
    <row r="62" spans="2:63" hidden="1" outlineLevel="1" x14ac:dyDescent="0.2">
      <c r="B62" s="119">
        <f t="shared" si="9"/>
        <v>235.05704852461599</v>
      </c>
      <c r="C62" s="120">
        <f t="shared" si="10"/>
        <v>91.574611594541878</v>
      </c>
      <c r="D62" s="120">
        <f t="shared" si="11"/>
        <v>91.574611594541878</v>
      </c>
      <c r="E62" s="120">
        <f t="shared" si="12"/>
        <v>122.30082749242034</v>
      </c>
      <c r="F62" s="120">
        <f t="shared" si="13"/>
        <v>13.414812097428522</v>
      </c>
      <c r="G62" s="120">
        <f t="shared" si="14"/>
        <v>50.505123719522622</v>
      </c>
      <c r="H62" s="120">
        <f t="shared" si="15"/>
        <v>-7.7692902682159541</v>
      </c>
      <c r="I62" s="120">
        <f t="shared" si="16"/>
        <v>235.05704852461599</v>
      </c>
      <c r="J62" s="120">
        <f t="shared" si="17"/>
        <v>91.574611594541878</v>
      </c>
      <c r="K62" s="120">
        <f t="shared" si="18"/>
        <v>91.574611594541878</v>
      </c>
      <c r="L62" s="120">
        <f t="shared" si="19"/>
        <v>125.16573017216386</v>
      </c>
      <c r="M62" s="120">
        <f t="shared" si="20"/>
        <v>13.919237665173409</v>
      </c>
      <c r="N62" s="120">
        <f t="shared" si="21"/>
        <v>62.758333865199845</v>
      </c>
      <c r="O62" s="120">
        <f t="shared" si="22"/>
        <v>-7.0128252135200064</v>
      </c>
      <c r="P62" s="120">
        <f t="shared" si="23"/>
        <v>235.05704852461599</v>
      </c>
      <c r="Q62" s="120">
        <f t="shared" si="24"/>
        <v>91.574611594541878</v>
      </c>
      <c r="R62" s="120">
        <f t="shared" si="25"/>
        <v>91.574611594541878</v>
      </c>
      <c r="S62" s="120">
        <f t="shared" si="26"/>
        <v>116.45517678884015</v>
      </c>
      <c r="T62" s="120">
        <f t="shared" si="27"/>
        <v>13.417694317244305</v>
      </c>
      <c r="U62" s="120">
        <f t="shared" si="28"/>
        <v>-62.399741190604992</v>
      </c>
      <c r="V62" s="120">
        <f t="shared" si="29"/>
        <v>-4.1094622891215984</v>
      </c>
      <c r="W62" s="120">
        <f t="shared" si="30"/>
        <v>235.05704852461599</v>
      </c>
      <c r="X62" s="120">
        <f t="shared" si="31"/>
        <v>91.574611594541878</v>
      </c>
      <c r="Y62" s="120">
        <f t="shared" si="32"/>
        <v>91.574611594541878</v>
      </c>
      <c r="Z62" s="120">
        <f t="shared" si="33"/>
        <v>81.329654942291185</v>
      </c>
      <c r="AA62" s="120">
        <f t="shared" si="34"/>
        <v>8.9914310882787305</v>
      </c>
      <c r="AB62" s="120">
        <f t="shared" si="35"/>
        <v>100.30575638194131</v>
      </c>
      <c r="AC62" s="120">
        <f t="shared" si="36"/>
        <v>6.1049913161835772</v>
      </c>
      <c r="AD62" s="120">
        <f t="shared" si="37"/>
        <v>235.05704852461599</v>
      </c>
      <c r="AE62" s="120">
        <f t="shared" si="38"/>
        <v>91.574611594541878</v>
      </c>
      <c r="AF62" s="120">
        <f t="shared" si="39"/>
        <v>91.574611594541878</v>
      </c>
      <c r="AG62" s="120">
        <f t="shared" si="40"/>
        <v>100.43756002604111</v>
      </c>
      <c r="AH62" s="120">
        <f t="shared" si="41"/>
        <v>12.753773553031795</v>
      </c>
      <c r="AI62" s="120">
        <f t="shared" si="42"/>
        <v>62.758333865199845</v>
      </c>
      <c r="AJ62" s="120">
        <f t="shared" si="43"/>
        <v>1.1663059354958154</v>
      </c>
      <c r="AK62" s="120">
        <f t="shared" si="44"/>
        <v>-11.768315224621812</v>
      </c>
      <c r="AL62" s="120">
        <f t="shared" si="45"/>
        <v>182.72457721082412</v>
      </c>
      <c r="AM62" s="120">
        <f t="shared" si="46"/>
        <v>-11.768315224621812</v>
      </c>
      <c r="AN62" s="120">
        <f t="shared" si="47"/>
        <v>-11.768315224621812</v>
      </c>
      <c r="AO62" s="120">
        <f t="shared" si="48"/>
        <v>-11.768315224621812</v>
      </c>
      <c r="AP62" s="120">
        <f t="shared" si="49"/>
        <v>-11.768315224621812</v>
      </c>
      <c r="AQ62" s="120">
        <f t="shared" si="50"/>
        <v>-11.768315224621812</v>
      </c>
      <c r="AR62" s="120">
        <f t="shared" si="51"/>
        <v>-11.768315224621812</v>
      </c>
      <c r="AS62" s="120">
        <f t="shared" si="52"/>
        <v>0</v>
      </c>
      <c r="AT62" s="120">
        <f t="shared" si="53"/>
        <v>-11.768315224621812</v>
      </c>
      <c r="AU62" s="120">
        <f t="shared" si="54"/>
        <v>162.73020331988675</v>
      </c>
      <c r="AV62" s="120">
        <f t="shared" si="55"/>
        <v>130.86559904225871</v>
      </c>
      <c r="AW62" s="120">
        <f t="shared" si="56"/>
        <v>154.43786184615209</v>
      </c>
      <c r="AX62" s="120">
        <f t="shared" si="57"/>
        <v>52.160122109108713</v>
      </c>
      <c r="AY62" s="120">
        <f t="shared" si="58"/>
        <v>281.69153786995366</v>
      </c>
      <c r="AZ62" s="120">
        <f t="shared" si="59"/>
        <v>362.70393678955293</v>
      </c>
      <c r="BA62" s="120">
        <f t="shared" si="60"/>
        <v>-82.744118400049231</v>
      </c>
      <c r="BB62" s="115">
        <f t="shared" si="61"/>
        <v>205.14198493488269</v>
      </c>
      <c r="BC62" s="120">
        <f t="shared" si="62"/>
        <v>-11.768315224621812</v>
      </c>
      <c r="BD62" s="120">
        <f t="shared" si="63"/>
        <v>-11.768315224621812</v>
      </c>
      <c r="BE62" s="120">
        <f t="shared" si="64"/>
        <v>-11.768315224621812</v>
      </c>
      <c r="BF62" s="120">
        <f t="shared" si="65"/>
        <v>-11.768315224621812</v>
      </c>
      <c r="BG62" s="120">
        <f t="shared" si="66"/>
        <v>-11.768315224621812</v>
      </c>
      <c r="BH62" s="120">
        <f t="shared" si="67"/>
        <v>-11.768315224621812</v>
      </c>
      <c r="BI62" s="120">
        <f t="shared" si="68"/>
        <v>-11.768315224621812</v>
      </c>
      <c r="BJ62" s="120">
        <f t="shared" si="69"/>
        <v>-11.768315224621812</v>
      </c>
      <c r="BK62" s="116">
        <f t="shared" si="70"/>
        <v>-11.768315224621812</v>
      </c>
    </row>
    <row r="63" spans="2:63" hidden="1" outlineLevel="1" x14ac:dyDescent="0.2">
      <c r="B63" s="121">
        <f t="shared" ref="B63:G63" si="71">IF(B57&lt;0,0,IF(B58&lt;0,0,IF(B59&lt;0,0,IF(B60&lt;0,0,IF(B61&lt;0,0,IF(B62&lt;0,0,1))))))</f>
        <v>0</v>
      </c>
      <c r="C63" s="122">
        <f t="shared" si="71"/>
        <v>0</v>
      </c>
      <c r="D63" s="122">
        <f t="shared" si="71"/>
        <v>0</v>
      </c>
      <c r="E63" s="122">
        <f t="shared" si="71"/>
        <v>0</v>
      </c>
      <c r="F63" s="122">
        <f t="shared" si="71"/>
        <v>0</v>
      </c>
      <c r="G63" s="122">
        <f t="shared" si="71"/>
        <v>1</v>
      </c>
      <c r="H63" s="122">
        <f>IF(H57&lt;0,0,IF(H58&lt;0,0,IF(H59&lt;0,0,IF(H60&lt;0,0,IF(H61&lt;0,0,IF(H62&lt;0,0,1))))))</f>
        <v>0</v>
      </c>
      <c r="I63" s="122">
        <f t="shared" ref="I63:N63" si="72">IF(I57&lt;0,0,IF(I58&lt;0,0,IF(I59&lt;0,0,IF(I60&lt;0,0,IF(I61&lt;0,0,IF(I62&lt;0,0,1))))))</f>
        <v>0</v>
      </c>
      <c r="J63" s="122">
        <f t="shared" si="72"/>
        <v>0</v>
      </c>
      <c r="K63" s="122">
        <f t="shared" si="72"/>
        <v>0</v>
      </c>
      <c r="L63" s="122">
        <f t="shared" si="72"/>
        <v>0</v>
      </c>
      <c r="M63" s="122">
        <f t="shared" si="72"/>
        <v>0</v>
      </c>
      <c r="N63" s="122">
        <f t="shared" si="72"/>
        <v>0</v>
      </c>
      <c r="O63" s="122">
        <f>IF(O57&lt;0,0,IF(O58&lt;0,0,IF(O59&lt;0,0,IF(O60&lt;0,0,IF(O61&lt;0,0,IF(O62&lt;0,0,1))))))</f>
        <v>0</v>
      </c>
      <c r="P63" s="122">
        <f t="shared" ref="P63:U63" si="73">IF(P57&lt;0,0,IF(P58&lt;0,0,IF(P59&lt;0,0,IF(P60&lt;0,0,IF(P61&lt;0,0,IF(P62&lt;0,0,1))))))</f>
        <v>0</v>
      </c>
      <c r="Q63" s="122">
        <f t="shared" si="73"/>
        <v>0</v>
      </c>
      <c r="R63" s="122">
        <f t="shared" si="73"/>
        <v>0</v>
      </c>
      <c r="S63" s="122">
        <f t="shared" si="73"/>
        <v>0</v>
      </c>
      <c r="T63" s="122">
        <f t="shared" si="73"/>
        <v>0</v>
      </c>
      <c r="U63" s="122">
        <f t="shared" si="73"/>
        <v>0</v>
      </c>
      <c r="V63" s="122">
        <f>IF(V57&lt;0,0,IF(V58&lt;0,0,IF(V59&lt;0,0,IF(V60&lt;0,0,IF(V61&lt;0,0,IF(V62&lt;0,0,1))))))</f>
        <v>0</v>
      </c>
      <c r="W63" s="122">
        <f t="shared" ref="W63:AB63" si="74">IF(W57&lt;0,0,IF(W58&lt;0,0,IF(W59&lt;0,0,IF(W60&lt;0,0,IF(W61&lt;0,0,IF(W62&lt;0,0,1))))))</f>
        <v>0</v>
      </c>
      <c r="X63" s="122">
        <f t="shared" si="74"/>
        <v>0</v>
      </c>
      <c r="Y63" s="122">
        <f t="shared" si="74"/>
        <v>0</v>
      </c>
      <c r="Z63" s="122">
        <f t="shared" si="74"/>
        <v>0</v>
      </c>
      <c r="AA63" s="122">
        <f t="shared" si="74"/>
        <v>0</v>
      </c>
      <c r="AB63" s="122">
        <f t="shared" si="74"/>
        <v>0</v>
      </c>
      <c r="AC63" s="122">
        <f>IF(AC57&lt;0,0,IF(AC58&lt;0,0,IF(AC59&lt;0,0,IF(AC60&lt;0,0,IF(AC61&lt;0,0,IF(AC62&lt;0,0,1))))))</f>
        <v>0</v>
      </c>
      <c r="AD63" s="122">
        <f t="shared" ref="AD63:AI63" si="75">IF(AD57&lt;0,0,IF(AD58&lt;0,0,IF(AD59&lt;0,0,IF(AD60&lt;0,0,IF(AD61&lt;0,0,IF(AD62&lt;0,0,1))))))</f>
        <v>0</v>
      </c>
      <c r="AE63" s="122">
        <f t="shared" si="75"/>
        <v>0</v>
      </c>
      <c r="AF63" s="122">
        <f t="shared" si="75"/>
        <v>0</v>
      </c>
      <c r="AG63" s="122">
        <f t="shared" si="75"/>
        <v>0</v>
      </c>
      <c r="AH63" s="122">
        <f t="shared" si="75"/>
        <v>0</v>
      </c>
      <c r="AI63" s="122">
        <f t="shared" si="75"/>
        <v>0</v>
      </c>
      <c r="AJ63" s="122">
        <f>IF(AJ57&lt;0,0,IF(AJ58&lt;0,0,IF(AJ59&lt;0,0,IF(AJ60&lt;0,0,IF(AJ61&lt;0,0,IF(AJ62&lt;0,0,1))))))</f>
        <v>0</v>
      </c>
      <c r="AK63" s="122">
        <f>IF(AK57&lt;0,0,IF(AK58&lt;0,0,IF(AK59&lt;0,0,IF(AK60&lt;0,0,IF(AK61&lt;0,0,IF(AK62&lt;0,0,1))))))</f>
        <v>0</v>
      </c>
      <c r="AL63" s="122">
        <f t="shared" ref="AL63" si="76">IF(AL57&lt;0,0,IF(AL58&lt;0,0,IF(AL59&lt;0,0,IF(AL60&lt;0,0,IF(AL61&lt;0,0,IF(AL62&lt;0,0,1))))))</f>
        <v>0</v>
      </c>
      <c r="AM63" s="122">
        <f>IF(AM57&lt;0,0,IF(AM58&lt;0,0,IF(AM59&lt;0,0,IF(AM60&lt;0,0,IF(AM61&lt;0,0,IF(AM62&lt;0,0,1))))))</f>
        <v>0</v>
      </c>
      <c r="AN63" s="122">
        <f>IF(AN57&lt;0,0,IF(AN58&lt;0,0,IF(AN59&lt;0,0,IF(AN60&lt;0,0,IF(AN61&lt;0,0,IF(AN62&lt;0,0,1))))))</f>
        <v>0</v>
      </c>
      <c r="AO63" s="122">
        <f>IF(AO57&lt;0,0,IF(AO58&lt;0,0,IF(AO59&lt;0,0,IF(AO60&lt;0,0,IF(AO61&lt;0,0,IF(AO62&lt;0,0,1))))))</f>
        <v>0</v>
      </c>
      <c r="AP63" s="122">
        <f>IF(AP57&lt;0,0,IF(AP58&lt;0,0,IF(AP59&lt;0,0,IF(AP60&lt;0,0,IF(AP61&lt;0,0,IF(AP62&lt;0,0,1))))))</f>
        <v>0</v>
      </c>
      <c r="AQ63" s="122">
        <f>IF(AQ57&lt;0,0,IF(AQ58&lt;0,0,IF(AQ59&lt;0,0,IF(AQ60&lt;0,0,IF(AQ61&lt;0,0,IF(AQ62&lt;0,0,1))))))</f>
        <v>0</v>
      </c>
      <c r="AR63" s="122">
        <f t="shared" ref="AR63:AT63" si="77">IF(AR57&lt;0,0,IF(AR58&lt;0,0,IF(AR59&lt;0,0,IF(AR60&lt;0,0,IF(AR61&lt;0,0,IF(AR62&lt;0,0,1))))))</f>
        <v>0</v>
      </c>
      <c r="AS63" s="122">
        <f t="shared" si="77"/>
        <v>1</v>
      </c>
      <c r="AT63" s="122">
        <f t="shared" si="77"/>
        <v>0</v>
      </c>
      <c r="AU63" s="122">
        <f t="shared" ref="AU63:BB63" si="78">IF(AU57&lt;0,0,IF(AU58&lt;0,0,IF(AU59&lt;0,0,IF(AU60&lt;0,0,IF(AU61&lt;0,0,IF(AU62&lt;0,0,1))))))</f>
        <v>0</v>
      </c>
      <c r="AV63" s="122">
        <f t="shared" si="78"/>
        <v>0</v>
      </c>
      <c r="AW63" s="122">
        <f t="shared" si="78"/>
        <v>0</v>
      </c>
      <c r="AX63" s="122">
        <f t="shared" si="78"/>
        <v>0</v>
      </c>
      <c r="AY63" s="122">
        <f t="shared" si="78"/>
        <v>0</v>
      </c>
      <c r="AZ63" s="122">
        <f t="shared" si="78"/>
        <v>0</v>
      </c>
      <c r="BA63" s="122">
        <f t="shared" si="78"/>
        <v>0</v>
      </c>
      <c r="BB63" s="122">
        <f t="shared" si="78"/>
        <v>0</v>
      </c>
      <c r="BC63" s="122">
        <f t="shared" ref="BC63:BJ63" si="79">IF(BC57&lt;0,0,IF(BC58&lt;0,0,IF(BC59&lt;0,0,IF(BC60&lt;0,0,IF(BC61&lt;0,0,IF(BC62&lt;0,0,1))))))</f>
        <v>0</v>
      </c>
      <c r="BD63" s="122">
        <f t="shared" si="79"/>
        <v>0</v>
      </c>
      <c r="BE63" s="122">
        <f t="shared" si="79"/>
        <v>0</v>
      </c>
      <c r="BF63" s="122">
        <f t="shared" si="79"/>
        <v>0</v>
      </c>
      <c r="BG63" s="122">
        <f t="shared" si="79"/>
        <v>0</v>
      </c>
      <c r="BH63" s="122">
        <f t="shared" si="79"/>
        <v>0</v>
      </c>
      <c r="BI63" s="122">
        <f t="shared" si="79"/>
        <v>0</v>
      </c>
      <c r="BJ63" s="122">
        <f t="shared" si="79"/>
        <v>0</v>
      </c>
      <c r="BK63" s="123">
        <f>IF(BK57&lt;0,0,IF(BK58&lt;0,0,IF(BK59&lt;0,0,IF(BK60&lt;0,0,IF(BK61&lt;0,0,IF(BK62&lt;0,0,1))))))</f>
        <v>0</v>
      </c>
    </row>
    <row r="64" spans="2:63" hidden="1" outlineLevel="1" x14ac:dyDescent="0.2">
      <c r="B64" s="114" t="str">
        <f>$C$79</f>
        <v>water</v>
      </c>
      <c r="C64" s="115" t="str">
        <f>$K$79</f>
        <v>water</v>
      </c>
      <c r="D64" s="115" t="str">
        <f>$S$79</f>
        <v>water</v>
      </c>
      <c r="E64" s="115" t="str">
        <f>$AA$79</f>
        <v>water</v>
      </c>
      <c r="F64" s="115" t="str">
        <f>$AI$79</f>
        <v>water</v>
      </c>
      <c r="G64" s="115" t="str">
        <f>$AQ$79</f>
        <v>water</v>
      </c>
      <c r="H64" s="115" t="str">
        <f>$AY$79</f>
        <v>water</v>
      </c>
      <c r="I64" s="115" t="str">
        <f>$C$96</f>
        <v>water</v>
      </c>
      <c r="J64" s="115" t="str">
        <f>$K$96</f>
        <v>water</v>
      </c>
      <c r="K64" s="115" t="str">
        <f>$S$96</f>
        <v>water</v>
      </c>
      <c r="L64" s="115" t="str">
        <f>$AA$96</f>
        <v>water</v>
      </c>
      <c r="M64" s="115" t="str">
        <f>$AI$96</f>
        <v>water</v>
      </c>
      <c r="N64" s="115" t="str">
        <f>$AQ$96</f>
        <v>water</v>
      </c>
      <c r="O64" s="115" t="str">
        <f>$AY$96</f>
        <v>water</v>
      </c>
      <c r="P64" s="115" t="str">
        <f>$C$112</f>
        <v>water</v>
      </c>
      <c r="Q64" s="115" t="str">
        <f>$K$112</f>
        <v>water</v>
      </c>
      <c r="R64" s="115" t="str">
        <f>$S$112</f>
        <v>water</v>
      </c>
      <c r="S64" s="115" t="str">
        <f>$AA$112</f>
        <v>water</v>
      </c>
      <c r="T64" s="115" t="str">
        <f>$AI$112</f>
        <v>water</v>
      </c>
      <c r="U64" s="115" t="str">
        <f>$AQ$112</f>
        <v>water</v>
      </c>
      <c r="V64" s="115" t="str">
        <f>$AY$112</f>
        <v>water</v>
      </c>
      <c r="W64" s="115" t="str">
        <f>$C$129</f>
        <v>water</v>
      </c>
      <c r="X64" s="115" t="str">
        <f>$K$129</f>
        <v>water</v>
      </c>
      <c r="Y64" s="115" t="str">
        <f>$S$129</f>
        <v>water</v>
      </c>
      <c r="Z64" s="115" t="str">
        <f>$AA$129</f>
        <v>water</v>
      </c>
      <c r="AA64" s="115" t="str">
        <f>$AI$129</f>
        <v>water</v>
      </c>
      <c r="AB64" s="115" t="str">
        <f>$AQ$129</f>
        <v>water</v>
      </c>
      <c r="AC64" s="115" t="str">
        <f>$AY$129</f>
        <v>water</v>
      </c>
      <c r="AD64" s="115" t="str">
        <f>$C$146</f>
        <v>water</v>
      </c>
      <c r="AE64" s="115" t="str">
        <f>$K$146</f>
        <v>water</v>
      </c>
      <c r="AF64" s="115" t="str">
        <f>$S$146</f>
        <v>water</v>
      </c>
      <c r="AG64" s="115" t="str">
        <f>$AA$146</f>
        <v>water</v>
      </c>
      <c r="AH64" s="115" t="str">
        <f>$AI$146</f>
        <v>water</v>
      </c>
      <c r="AI64" s="115" t="str">
        <f>$AQ$146</f>
        <v>water</v>
      </c>
      <c r="AJ64" s="115" t="str">
        <f>$AY$146</f>
        <v>water</v>
      </c>
      <c r="AK64" s="115" t="str">
        <f>$C$180</f>
        <v>water</v>
      </c>
      <c r="AL64" s="115" t="str">
        <f>$C$163</f>
        <v>water</v>
      </c>
      <c r="AM64" s="115" t="str">
        <f>$K$180</f>
        <v>water</v>
      </c>
      <c r="AN64" s="115" t="str">
        <f>$S$180</f>
        <v>water</v>
      </c>
      <c r="AO64" s="115" t="str">
        <f>$AA$180</f>
        <v>water</v>
      </c>
      <c r="AP64" s="115" t="str">
        <f>$AI$180</f>
        <v>water</v>
      </c>
      <c r="AQ64" s="115" t="str">
        <f>$AQ$180</f>
        <v>water</v>
      </c>
      <c r="AR64" s="115" t="str">
        <f>$AY$180</f>
        <v>water</v>
      </c>
      <c r="AS64" s="115" t="str">
        <f>$BG$180</f>
        <v>water</v>
      </c>
      <c r="AT64" s="115" t="str">
        <f>$BO$180</f>
        <v>water</v>
      </c>
      <c r="AU64" s="115" t="str">
        <f>$K$163</f>
        <v>water</v>
      </c>
      <c r="AV64" s="115" t="str">
        <f>$S$163</f>
        <v>water</v>
      </c>
      <c r="AW64" s="115" t="str">
        <f>$AA$163</f>
        <v>water</v>
      </c>
      <c r="AX64" s="115" t="str">
        <f>$AI$163</f>
        <v>water</v>
      </c>
      <c r="AY64" s="115" t="str">
        <f>$AI$163</f>
        <v>water</v>
      </c>
      <c r="AZ64" s="115" t="str">
        <f>$AI$163</f>
        <v>water</v>
      </c>
      <c r="BA64" s="115" t="str">
        <f>$AI$163</f>
        <v>water</v>
      </c>
      <c r="BB64" s="115" t="str">
        <f>$AI$163</f>
        <v>water</v>
      </c>
      <c r="BC64" s="115" t="str">
        <f>$C$180</f>
        <v>water</v>
      </c>
      <c r="BD64" s="115" t="str">
        <f>$K$180</f>
        <v>water</v>
      </c>
      <c r="BE64" s="115" t="str">
        <f>$S$180</f>
        <v>water</v>
      </c>
      <c r="BF64" s="115" t="str">
        <f>$AA$180</f>
        <v>water</v>
      </c>
      <c r="BG64" s="115" t="str">
        <f>$AI$180</f>
        <v>water</v>
      </c>
      <c r="BH64" s="115" t="str">
        <f>$AI$180</f>
        <v>water</v>
      </c>
      <c r="BI64" s="115" t="str">
        <f>$AI$180</f>
        <v>water</v>
      </c>
      <c r="BJ64" s="115" t="str">
        <f>$AI$180</f>
        <v>water</v>
      </c>
      <c r="BK64" s="116" t="str">
        <f>$AI$180</f>
        <v>water</v>
      </c>
    </row>
    <row r="65" spans="1:63" hidden="1" outlineLevel="1" x14ac:dyDescent="0.2">
      <c r="B65" s="114" t="str">
        <f>$D$79</f>
        <v>portlandite</v>
      </c>
      <c r="C65" s="115" t="str">
        <f>$L$79</f>
        <v>portlandite</v>
      </c>
      <c r="D65" s="115" t="str">
        <f>$T$79</f>
        <v>portlandite</v>
      </c>
      <c r="E65" s="115" t="str">
        <f>$AB$79</f>
        <v>portlandite</v>
      </c>
      <c r="F65" s="115" t="str">
        <f>$AJ$79</f>
        <v>portlandite</v>
      </c>
      <c r="G65" s="115" t="str">
        <f>$AR$79</f>
        <v>portlandite</v>
      </c>
      <c r="H65" s="115" t="str">
        <f>$AZ$79</f>
        <v>portlandite</v>
      </c>
      <c r="I65" s="115" t="str">
        <f>$D$96</f>
        <v>portlandite</v>
      </c>
      <c r="J65" s="115" t="str">
        <f>$L$96</f>
        <v>portlandite</v>
      </c>
      <c r="K65" s="115" t="str">
        <f>$T$96</f>
        <v>portlandite</v>
      </c>
      <c r="L65" s="115" t="str">
        <f>$AB$96</f>
        <v>portlandite</v>
      </c>
      <c r="M65" s="115" t="str">
        <f>$AJ$96</f>
        <v>portlandite</v>
      </c>
      <c r="N65" s="115" t="str">
        <f>$AR$96</f>
        <v>portlandite</v>
      </c>
      <c r="O65" s="115" t="str">
        <f>$AZ$96</f>
        <v>portlandite</v>
      </c>
      <c r="P65" s="115" t="str">
        <f>$D$112</f>
        <v>C1.3A0.1SH3</v>
      </c>
      <c r="Q65" s="115" t="str">
        <f>$L$112</f>
        <v>C1.3A0.1SH3</v>
      </c>
      <c r="R65" s="115" t="str">
        <f>$T$112</f>
        <v>C1.3A0.1SH3</v>
      </c>
      <c r="S65" s="115" t="str">
        <f>$AB$112</f>
        <v>C1.3A0.1SH3</v>
      </c>
      <c r="T65" s="115" t="str">
        <f>$AJ$112</f>
        <v>C1.3A0.1SH3</v>
      </c>
      <c r="U65" s="115" t="str">
        <f>$AR$112</f>
        <v>calcite</v>
      </c>
      <c r="V65" s="115" t="str">
        <f>$AZ$112</f>
        <v>C1.3A0.1SH3</v>
      </c>
      <c r="W65" s="115" t="str">
        <f>$D$129</f>
        <v>C1.3A0.1SH3</v>
      </c>
      <c r="X65" s="115" t="str">
        <f>$L$129</f>
        <v>C1.3A0.1SH3</v>
      </c>
      <c r="Y65" s="115" t="str">
        <f>$T$129</f>
        <v>C1.3A0.1SH3</v>
      </c>
      <c r="Z65" s="115" t="str">
        <f>$AB$129</f>
        <v>C1.3A0.1SH3</v>
      </c>
      <c r="AA65" s="115" t="str">
        <f>$AJ$129</f>
        <v>C1.3A0.1SH3</v>
      </c>
      <c r="AB65" s="115" t="str">
        <f>$AR$129</f>
        <v>calcite</v>
      </c>
      <c r="AC65" s="115" t="str">
        <f>$AZ$129</f>
        <v>C1.3A0.1SH3</v>
      </c>
      <c r="AD65" s="115" t="str">
        <f>$D$146</f>
        <v>AH3</v>
      </c>
      <c r="AE65" s="115" t="str">
        <f>$L$146</f>
        <v>AH3</v>
      </c>
      <c r="AF65" s="115" t="str">
        <f>$T$146</f>
        <v>AH3</v>
      </c>
      <c r="AG65" s="115" t="str">
        <f>$AB$146</f>
        <v>AH3</v>
      </c>
      <c r="AH65" s="115" t="str">
        <f>$AJ$146</f>
        <v>AH3</v>
      </c>
      <c r="AI65" s="115" t="str">
        <f>$AR$146</f>
        <v>AH3</v>
      </c>
      <c r="AJ65" s="115" t="str">
        <f>$AZ$146</f>
        <v>AH3</v>
      </c>
      <c r="AK65" s="115" t="str">
        <f>$D$180</f>
        <v>strätlingite</v>
      </c>
      <c r="AL65" s="115" t="str">
        <f>$D$163</f>
        <v>calcite</v>
      </c>
      <c r="AM65" s="115" t="str">
        <f>$L$180</f>
        <v>SiO2</v>
      </c>
      <c r="AN65" s="115" t="str">
        <f>$T$180</f>
        <v>strätlingite</v>
      </c>
      <c r="AO65" s="115" t="str">
        <f>$AB$180</f>
        <v>SiO2</v>
      </c>
      <c r="AP65" s="115" t="str">
        <f>$AJ$180</f>
        <v>SiO2</v>
      </c>
      <c r="AQ65" s="115" t="str">
        <f>$AR$180</f>
        <v>C1.3A0.1SH3</v>
      </c>
      <c r="AR65" s="115" t="str">
        <f>$AZ$180</f>
        <v>C1.3A0.1SH3</v>
      </c>
      <c r="AS65" s="115" t="str">
        <f>$BH$180</f>
        <v>C1.3A0.1SH3</v>
      </c>
      <c r="AT65" s="115" t="str">
        <f>$BP$180</f>
        <v>C1.3A0.1SH3</v>
      </c>
      <c r="AU65" s="115" t="str">
        <f>$L$163</f>
        <v>SiO2</v>
      </c>
      <c r="AV65" s="115" t="str">
        <f>$T$163</f>
        <v>strätlingite</v>
      </c>
      <c r="AW65" s="115" t="str">
        <f>$AB$163</f>
        <v>SiO2</v>
      </c>
      <c r="AX65" s="115" t="str">
        <f>$AJ$163</f>
        <v>SiO2</v>
      </c>
      <c r="AY65" s="115" t="str">
        <f>$AR$163</f>
        <v>calcite</v>
      </c>
      <c r="AZ65" s="115" t="str">
        <f>$AR$163</f>
        <v>calcite</v>
      </c>
      <c r="BA65" s="115" t="str">
        <f>$AR$163</f>
        <v>calcite</v>
      </c>
      <c r="BB65" s="115" t="str">
        <f>$AR$163</f>
        <v>calcite</v>
      </c>
      <c r="BC65" s="115" t="str">
        <f>$D$180</f>
        <v>strätlingite</v>
      </c>
      <c r="BD65" s="115" t="str">
        <f>$L$180</f>
        <v>SiO2</v>
      </c>
      <c r="BE65" s="115" t="str">
        <f>$T$180</f>
        <v>strätlingite</v>
      </c>
      <c r="BF65" s="115" t="str">
        <f>$AB$180</f>
        <v>SiO2</v>
      </c>
      <c r="BG65" s="115" t="str">
        <f>$AJ$180</f>
        <v>SiO2</v>
      </c>
      <c r="BH65" s="115" t="str">
        <f>$AR$180</f>
        <v>C1.3A0.1SH3</v>
      </c>
      <c r="BI65" s="115" t="str">
        <f>$AR$180</f>
        <v>C1.3A0.1SH3</v>
      </c>
      <c r="BJ65" s="115" t="str">
        <f>$AR$180</f>
        <v>C1.3A0.1SH3</v>
      </c>
      <c r="BK65" s="116" t="str">
        <f>$AR$180</f>
        <v>C1.3A0.1SH3</v>
      </c>
    </row>
    <row r="66" spans="1:63" hidden="1" outlineLevel="1" x14ac:dyDescent="0.2">
      <c r="B66" s="114" t="str">
        <f>$E$79</f>
        <v>C1.75SH4.4</v>
      </c>
      <c r="C66" s="115" t="str">
        <f>$M$79</f>
        <v>C1.75SH4.4</v>
      </c>
      <c r="D66" s="115" t="str">
        <f>$U$79</f>
        <v>C1.75SH4.4</v>
      </c>
      <c r="E66" s="115" t="str">
        <f>$AC$79</f>
        <v>C1.75SH4.4</v>
      </c>
      <c r="F66" s="115" t="str">
        <f>$AK$79</f>
        <v>C1.75SH4.4</v>
      </c>
      <c r="G66" s="115" t="str">
        <f>$AS$79</f>
        <v>C1.75SH4.4</v>
      </c>
      <c r="H66" s="115" t="str">
        <f>$BA$79</f>
        <v>C1.75SH4.4</v>
      </c>
      <c r="I66" s="115" t="str">
        <f>$E$96</f>
        <v>C1.75A0.05SH4.3</v>
      </c>
      <c r="J66" s="115" t="str">
        <f>$M$96</f>
        <v>C1.75A0.05SH4.3</v>
      </c>
      <c r="K66" s="115" t="str">
        <f>$U$96</f>
        <v>C1.75A0.05SH4.3</v>
      </c>
      <c r="L66" s="115" t="str">
        <f>$AC$96</f>
        <v>C1.75A0.05SH4.3</v>
      </c>
      <c r="M66" s="115" t="str">
        <f>$AK$96</f>
        <v>C1.75A0.05SH4.3</v>
      </c>
      <c r="N66" s="115" t="str">
        <f>$AS$96</f>
        <v>calcite</v>
      </c>
      <c r="O66" s="115" t="str">
        <f>$BA$96</f>
        <v>C1.75A0.05SH4.3</v>
      </c>
      <c r="P66" s="115" t="str">
        <f>$E$112</f>
        <v>C1.75A0.05SH4.3</v>
      </c>
      <c r="Q66" s="115" t="str">
        <f>$M$112</f>
        <v>C1.75A0.05SH4.3</v>
      </c>
      <c r="R66" s="115" t="str">
        <f>$U$112</f>
        <v>C1.75A0.05SH4.3</v>
      </c>
      <c r="S66" s="115" t="str">
        <f>$AC$112</f>
        <v>C1.75A0.05SH4.3</v>
      </c>
      <c r="T66" s="115" t="str">
        <f>$AK$112</f>
        <v>C1.75A0.05SH4.3</v>
      </c>
      <c r="U66" s="115" t="str">
        <f>$AS$112</f>
        <v>C1.75A0.05SH4.3</v>
      </c>
      <c r="V66" s="115" t="str">
        <f>$BA$112</f>
        <v>C1.75A0.05SH4.3</v>
      </c>
      <c r="W66" s="115" t="str">
        <f>$E$129</f>
        <v>strätlingite</v>
      </c>
      <c r="X66" s="115" t="str">
        <f>$M$129</f>
        <v>strätlingite</v>
      </c>
      <c r="Y66" s="115" t="str">
        <f>$U$129</f>
        <v>strätlingite</v>
      </c>
      <c r="Z66" s="115" t="str">
        <f>$AC$129</f>
        <v>strätlingite</v>
      </c>
      <c r="AA66" s="115" t="str">
        <f>$AK$129</f>
        <v>strätlingite</v>
      </c>
      <c r="AB66" s="115" t="str">
        <f>$AS$129</f>
        <v>strätlingite</v>
      </c>
      <c r="AC66" s="115" t="str">
        <f>$BA$129</f>
        <v>strätlingite</v>
      </c>
      <c r="AD66" s="115" t="str">
        <f>$E$146</f>
        <v>strätlingite</v>
      </c>
      <c r="AE66" s="115" t="str">
        <f>$M$146</f>
        <v>strätlingite</v>
      </c>
      <c r="AF66" s="115" t="str">
        <f>$U$146</f>
        <v>strätlingite</v>
      </c>
      <c r="AG66" s="115" t="str">
        <f>$AC$146</f>
        <v>strätlingite</v>
      </c>
      <c r="AH66" s="115" t="str">
        <f>$AK$146</f>
        <v>strätlingite</v>
      </c>
      <c r="AI66" s="115" t="str">
        <f>$AS$146</f>
        <v>calcite</v>
      </c>
      <c r="AJ66" s="115" t="str">
        <f>$BA$146</f>
        <v>strätlingite</v>
      </c>
      <c r="AK66" s="115" t="str">
        <f>$E$180</f>
        <v>Ca-stilbite</v>
      </c>
      <c r="AL66" s="115" t="str">
        <f>$E$163</f>
        <v>Ca-stilbite</v>
      </c>
      <c r="AM66" s="115" t="str">
        <f>$M$180</f>
        <v>Ca-stilbite</v>
      </c>
      <c r="AN66" s="115" t="str">
        <f>$U$180</f>
        <v>Ca-stilbite</v>
      </c>
      <c r="AO66" s="115" t="str">
        <f>$AC$180</f>
        <v>Ca-stilbite</v>
      </c>
      <c r="AP66" s="115" t="str">
        <f>$AK$180</f>
        <v>C0.67SH1.8</v>
      </c>
      <c r="AQ66" s="115" t="str">
        <f>$AS$163</f>
        <v>strätlingite</v>
      </c>
      <c r="AR66" s="115" t="str">
        <f>$BA$180</f>
        <v>C0.67SH1.8</v>
      </c>
      <c r="AS66" s="115" t="str">
        <f>$BI$180</f>
        <v>C1.75A0.05SH4.3</v>
      </c>
      <c r="AT66" s="115" t="str">
        <f>$BQ$180</f>
        <v>C0.67SH1.8</v>
      </c>
      <c r="AU66" s="115" t="str">
        <f>$M$163</f>
        <v>calcite</v>
      </c>
      <c r="AV66" s="115" t="str">
        <f>$U$163</f>
        <v>Ca-stilbite</v>
      </c>
      <c r="AW66" s="115" t="str">
        <f>$AC$163</f>
        <v>Ca-stilbite</v>
      </c>
      <c r="AX66" s="115" t="str">
        <f>$AK$163</f>
        <v>calcite</v>
      </c>
      <c r="AY66" s="115" t="str">
        <f>$AS$163</f>
        <v>strätlingite</v>
      </c>
      <c r="AZ66" s="115" t="str">
        <f>$AS$163</f>
        <v>strätlingite</v>
      </c>
      <c r="BA66" s="115" t="str">
        <f>$AS$163</f>
        <v>strätlingite</v>
      </c>
      <c r="BB66" s="115" t="str">
        <f>$AS$163</f>
        <v>strätlingite</v>
      </c>
      <c r="BC66" s="115" t="str">
        <f>$E$180</f>
        <v>Ca-stilbite</v>
      </c>
      <c r="BD66" s="115" t="str">
        <f>$M$180</f>
        <v>Ca-stilbite</v>
      </c>
      <c r="BE66" s="115" t="str">
        <f>$U$180</f>
        <v>Ca-stilbite</v>
      </c>
      <c r="BF66" s="115" t="str">
        <f>$AC$180</f>
        <v>Ca-stilbite</v>
      </c>
      <c r="BG66" s="115" t="str">
        <f>$AK$180</f>
        <v>C0.67SH1.8</v>
      </c>
      <c r="BH66" s="115" t="str">
        <f>$AS$180</f>
        <v>strätlingite</v>
      </c>
      <c r="BI66" s="115" t="str">
        <f>$AS$180</f>
        <v>strätlingite</v>
      </c>
      <c r="BJ66" s="115" t="str">
        <f>$AS$180</f>
        <v>strätlingite</v>
      </c>
      <c r="BK66" s="116" t="str">
        <f>$AS$180</f>
        <v>strätlingite</v>
      </c>
    </row>
    <row r="67" spans="1:63" hidden="1" outlineLevel="1" x14ac:dyDescent="0.2">
      <c r="B67" s="114" t="str">
        <f>$F$79</f>
        <v>Hydrogarnet</v>
      </c>
      <c r="C67" s="115" t="str">
        <f>$N$79</f>
        <v>monosulphate</v>
      </c>
      <c r="D67" s="115" t="str">
        <f>$V$79</f>
        <v>monosulphate</v>
      </c>
      <c r="E67" s="115" t="str">
        <f>$AD$79</f>
        <v>Hemicarbonate</v>
      </c>
      <c r="F67" s="115" t="str">
        <f>$AL$79</f>
        <v>ettringite</v>
      </c>
      <c r="G67" s="115" t="str">
        <f>$AT$79</f>
        <v>ettringite</v>
      </c>
      <c r="H67" s="115" t="str">
        <f>$BB$79</f>
        <v>ettringite</v>
      </c>
      <c r="I67" s="115" t="str">
        <f>$F$96</f>
        <v>Hydrogarnet</v>
      </c>
      <c r="J67" s="115" t="str">
        <f>$N$96</f>
        <v>monosulphate</v>
      </c>
      <c r="K67" s="115" t="str">
        <f>$V$96</f>
        <v>monosulphate</v>
      </c>
      <c r="L67" s="115" t="str">
        <f>$AD$96</f>
        <v>Hemicarbonate</v>
      </c>
      <c r="M67" s="115" t="str">
        <f>$AL$96</f>
        <v>ettringite</v>
      </c>
      <c r="N67" s="115" t="str">
        <f>$AT$96</f>
        <v>ettringite</v>
      </c>
      <c r="O67" s="115" t="str">
        <f>$BB$96</f>
        <v>ettringite</v>
      </c>
      <c r="P67" s="115" t="str">
        <f>$F$112</f>
        <v>Hydrogarnet</v>
      </c>
      <c r="Q67" s="115" t="str">
        <f>$N$112</f>
        <v>monosulphate</v>
      </c>
      <c r="R67" s="115" t="str">
        <f>$V$112</f>
        <v>monosulphate</v>
      </c>
      <c r="S67" s="115" t="str">
        <f>$AD$112</f>
        <v>Hemicarbonate</v>
      </c>
      <c r="T67" s="115" t="str">
        <f>$AL$112</f>
        <v>ettringite</v>
      </c>
      <c r="U67" s="115" t="str">
        <f>$AT$112</f>
        <v>ettringite</v>
      </c>
      <c r="V67" s="115" t="str">
        <f>$BB$112</f>
        <v>ettringite</v>
      </c>
      <c r="W67" s="115" t="str">
        <f>$F$129</f>
        <v>Hydrogarnet</v>
      </c>
      <c r="X67" s="115" t="str">
        <f>$N$129</f>
        <v>monosulphate</v>
      </c>
      <c r="Y67" s="115" t="str">
        <f>$V$129</f>
        <v>monosulphate</v>
      </c>
      <c r="Z67" s="115" t="str">
        <f>$AD$129</f>
        <v>Hemicarbonate</v>
      </c>
      <c r="AA67" s="115" t="str">
        <f>$AL$129</f>
        <v>ettringite</v>
      </c>
      <c r="AB67" s="115" t="str">
        <f>$AT$129</f>
        <v>ettringite</v>
      </c>
      <c r="AC67" s="115" t="str">
        <f>$BB$129</f>
        <v>ettringite</v>
      </c>
      <c r="AD67" s="115" t="str">
        <f>$F$146</f>
        <v>Hydrogarnet</v>
      </c>
      <c r="AE67" s="115" t="str">
        <f>$N$146</f>
        <v>monosulphate</v>
      </c>
      <c r="AF67" s="115" t="str">
        <f>$V$146</f>
        <v>monosulphate</v>
      </c>
      <c r="AG67" s="115" t="str">
        <f>$AD$146</f>
        <v>Hemicarbonate</v>
      </c>
      <c r="AH67" s="115" t="str">
        <f>$AL$146</f>
        <v>ettringite</v>
      </c>
      <c r="AI67" s="115" t="str">
        <f>$AT$146</f>
        <v>ettringite</v>
      </c>
      <c r="AJ67" s="115" t="str">
        <f>$BB$146</f>
        <v>ettringite</v>
      </c>
      <c r="AK67" s="115" t="str">
        <f>$F$180</f>
        <v>AH3</v>
      </c>
      <c r="AL67" s="115" t="str">
        <f>$F$163</f>
        <v>AH3</v>
      </c>
      <c r="AM67" s="115" t="str">
        <f>$N$180</f>
        <v>AH3</v>
      </c>
      <c r="AN67" s="115" t="str">
        <f>$V$180</f>
        <v>C0.67A0.05SH1.8</v>
      </c>
      <c r="AO67" s="115" t="str">
        <f>$AD$180</f>
        <v>C0.67A0.05SH1.8</v>
      </c>
      <c r="AP67" s="115" t="str">
        <f>$AL$180</f>
        <v>C0.67A0.05SH1.8</v>
      </c>
      <c r="AQ67" s="115" t="str">
        <f>$AT$180</f>
        <v>C0.67A0.05SH1.8</v>
      </c>
      <c r="AR67" s="115" t="str">
        <f>$BB$180</f>
        <v>C0.67A0.05SH1.8</v>
      </c>
      <c r="AS67" s="115" t="str">
        <f>$BJ$180</f>
        <v>C1.75SH4.4</v>
      </c>
      <c r="AT67" s="115" t="str">
        <f>$BR$180</f>
        <v>C1.75SH4.4</v>
      </c>
      <c r="AU67" s="115" t="str">
        <f>$N$163</f>
        <v>AH3</v>
      </c>
      <c r="AV67" s="115" t="str">
        <f>$V$163</f>
        <v>calcite</v>
      </c>
      <c r="AW67" s="115" t="str">
        <f>$AD$163</f>
        <v>calcite</v>
      </c>
      <c r="AX67" s="115" t="str">
        <f>$AL$163</f>
        <v>C0.67A0.05SH1.8</v>
      </c>
      <c r="AY67" s="115" t="str">
        <f>$AT$163</f>
        <v>C0.67A0.05SH1.8</v>
      </c>
      <c r="AZ67" s="115" t="str">
        <f>$AT$163</f>
        <v>C0.67A0.05SH1.8</v>
      </c>
      <c r="BA67" s="115" t="str">
        <f>$AT$163</f>
        <v>C0.67A0.05SH1.8</v>
      </c>
      <c r="BB67" s="115" t="str">
        <f>$AT$163</f>
        <v>C0.67A0.05SH1.8</v>
      </c>
      <c r="BC67" s="115" t="str">
        <f>$F$180</f>
        <v>AH3</v>
      </c>
      <c r="BD67" s="115" t="str">
        <f>$N$180</f>
        <v>AH3</v>
      </c>
      <c r="BE67" s="115" t="str">
        <f>$V$180</f>
        <v>C0.67A0.05SH1.8</v>
      </c>
      <c r="BF67" s="115" t="str">
        <f>$AD$180</f>
        <v>C0.67A0.05SH1.8</v>
      </c>
      <c r="BG67" s="115" t="str">
        <f>$AL$180</f>
        <v>C0.67A0.05SH1.8</v>
      </c>
      <c r="BH67" s="115" t="str">
        <f>$AT$180</f>
        <v>C0.67A0.05SH1.8</v>
      </c>
      <c r="BI67" s="115" t="str">
        <f>$AT$180</f>
        <v>C0.67A0.05SH1.8</v>
      </c>
      <c r="BJ67" s="115" t="str">
        <f>$AT$180</f>
        <v>C0.67A0.05SH1.8</v>
      </c>
      <c r="BK67" s="116" t="str">
        <f>$AT$180</f>
        <v>C0.67A0.05SH1.8</v>
      </c>
    </row>
    <row r="68" spans="1:63" hidden="1" outlineLevel="1" x14ac:dyDescent="0.2">
      <c r="B68" s="114" t="str">
        <f>$G$79</f>
        <v>Hemicarbonate</v>
      </c>
      <c r="C68" s="115" t="str">
        <f>$O$79</f>
        <v>Hemisulphate</v>
      </c>
      <c r="D68" s="115" t="str">
        <f>$W$79</f>
        <v>ettringite</v>
      </c>
      <c r="E68" s="115" t="str">
        <f>$AE$79</f>
        <v>ettringite</v>
      </c>
      <c r="F68" s="115" t="str">
        <f>$AM$79</f>
        <v>monocarbonate</v>
      </c>
      <c r="G68" s="115" t="str">
        <f>$AU$79</f>
        <v>gypsum</v>
      </c>
      <c r="H68" s="115" t="str">
        <f>$BC$79</f>
        <v>thaumasite</v>
      </c>
      <c r="I68" s="115" t="str">
        <f>$G$96</f>
        <v>Hemicarbonate</v>
      </c>
      <c r="J68" s="115" t="str">
        <f>$O$96</f>
        <v>Hemisulphate</v>
      </c>
      <c r="K68" s="115" t="str">
        <f>$W$96</f>
        <v>ettringite</v>
      </c>
      <c r="L68" s="115" t="str">
        <f>$AE$96</f>
        <v>ettringite</v>
      </c>
      <c r="M68" s="115" t="str">
        <f>$AM$96</f>
        <v>monocarbonate</v>
      </c>
      <c r="N68" s="115" t="str">
        <f>$AU$96</f>
        <v>gypsum</v>
      </c>
      <c r="O68" s="115" t="str">
        <f>$BC$96</f>
        <v>thaumasite</v>
      </c>
      <c r="P68" s="115" t="str">
        <f>$G$112</f>
        <v>Hemicarbonate</v>
      </c>
      <c r="Q68" s="115" t="str">
        <f>$O$112</f>
        <v>Hemisulphate</v>
      </c>
      <c r="R68" s="115" t="str">
        <f>$W$112</f>
        <v>ettringite</v>
      </c>
      <c r="S68" s="115" t="str">
        <f>$AE$112</f>
        <v>ettringite</v>
      </c>
      <c r="T68" s="115" t="str">
        <f>$AM$112</f>
        <v>monocarbonate</v>
      </c>
      <c r="U68" s="115" t="str">
        <f>$AU$112</f>
        <v>gypsum</v>
      </c>
      <c r="V68" s="115" t="str">
        <f>$BC$112</f>
        <v>thaumasite</v>
      </c>
      <c r="W68" s="115" t="str">
        <f>$G$129</f>
        <v>Hemicarbonate</v>
      </c>
      <c r="X68" s="115" t="str">
        <f>$O$129</f>
        <v>Hemisulphate</v>
      </c>
      <c r="Y68" s="115" t="str">
        <f>$W$129</f>
        <v>ettringite</v>
      </c>
      <c r="Z68" s="115" t="str">
        <f>$AE$129</f>
        <v>ettringite</v>
      </c>
      <c r="AA68" s="115" t="str">
        <f>$AM$129</f>
        <v>monocarbonate</v>
      </c>
      <c r="AB68" s="115" t="str">
        <f>$AU$129</f>
        <v>gypsum</v>
      </c>
      <c r="AC68" s="115" t="str">
        <f>$BC$129</f>
        <v>thaumasite</v>
      </c>
      <c r="AD68" s="115" t="str">
        <f>$G$146</f>
        <v>Hemicarbonate</v>
      </c>
      <c r="AE68" s="115" t="str">
        <f>$O$146</f>
        <v>Hemisulphate</v>
      </c>
      <c r="AF68" s="115" t="str">
        <f>$W$146</f>
        <v>ettringite</v>
      </c>
      <c r="AG68" s="115" t="str">
        <f>$AE$146</f>
        <v>ettringite</v>
      </c>
      <c r="AH68" s="115" t="str">
        <f>$AM$146</f>
        <v>monocarbonate</v>
      </c>
      <c r="AI68" s="115" t="str">
        <f>$AU$146</f>
        <v>gypsum</v>
      </c>
      <c r="AJ68" s="115" t="str">
        <f>$BC$146</f>
        <v>thaumasite</v>
      </c>
      <c r="AK68" s="115" t="str">
        <f>$G$180</f>
        <v>thaumasite</v>
      </c>
      <c r="AL68" s="115" t="str">
        <f>$G$163</f>
        <v>gypsum</v>
      </c>
      <c r="AM68" s="115" t="str">
        <f>$O$180</f>
        <v>thaumasite</v>
      </c>
      <c r="AN68" s="115" t="str">
        <f>$W$180</f>
        <v>thaumasite</v>
      </c>
      <c r="AO68" s="115" t="str">
        <f>$AE$180</f>
        <v>thaumasite</v>
      </c>
      <c r="AP68" s="115" t="str">
        <f>$AM$180</f>
        <v>thaumasite</v>
      </c>
      <c r="AQ68" s="115" t="str">
        <f>$AU$180</f>
        <v>thaumasite</v>
      </c>
      <c r="AR68" s="115" t="str">
        <f>$BC$180</f>
        <v>thaumasite</v>
      </c>
      <c r="AS68" s="115" t="str">
        <f>$BK$180</f>
        <v>thaumasite</v>
      </c>
      <c r="AT68" s="115" t="str">
        <f>$BS$180</f>
        <v>thaumasite</v>
      </c>
      <c r="AU68" s="115" t="str">
        <f>$O$163</f>
        <v>gypsum</v>
      </c>
      <c r="AV68" s="115" t="str">
        <f>$W$163</f>
        <v>gypsum</v>
      </c>
      <c r="AW68" s="115" t="str">
        <f>$AE$163</f>
        <v>gypsum</v>
      </c>
      <c r="AX68" s="115" t="str">
        <f>$AM$163</f>
        <v>gypsum</v>
      </c>
      <c r="AY68" s="115" t="str">
        <f>$AU$163</f>
        <v>gypsum</v>
      </c>
      <c r="AZ68" s="115" t="str">
        <f>$AU$163</f>
        <v>gypsum</v>
      </c>
      <c r="BA68" s="115" t="str">
        <f>$AU$163</f>
        <v>gypsum</v>
      </c>
      <c r="BB68" s="115" t="str">
        <f>$AU$163</f>
        <v>gypsum</v>
      </c>
      <c r="BC68" s="115" t="str">
        <f>$G$180</f>
        <v>thaumasite</v>
      </c>
      <c r="BD68" s="115" t="str">
        <f>$O$180</f>
        <v>thaumasite</v>
      </c>
      <c r="BE68" s="115" t="str">
        <f>$W$180</f>
        <v>thaumasite</v>
      </c>
      <c r="BF68" s="115" t="str">
        <f>$AE$180</f>
        <v>thaumasite</v>
      </c>
      <c r="BG68" s="115" t="str">
        <f>$AM$180</f>
        <v>thaumasite</v>
      </c>
      <c r="BH68" s="115" t="str">
        <f>$AU$180</f>
        <v>thaumasite</v>
      </c>
      <c r="BI68" s="115" t="str">
        <f>$AU$180</f>
        <v>thaumasite</v>
      </c>
      <c r="BJ68" s="115" t="str">
        <f>$AU$180</f>
        <v>thaumasite</v>
      </c>
      <c r="BK68" s="116" t="str">
        <f>$AU$180</f>
        <v>thaumasite</v>
      </c>
    </row>
    <row r="69" spans="1:63" ht="13.5" hidden="1" outlineLevel="1" thickBot="1" x14ac:dyDescent="0.25">
      <c r="B69" s="124" t="str">
        <f>$H$79</f>
        <v>Hemisulphate</v>
      </c>
      <c r="C69" s="125" t="str">
        <f>$P$79</f>
        <v>Hemicarbonate</v>
      </c>
      <c r="D69" s="125" t="str">
        <f>$X$79</f>
        <v>Hemicarbonate</v>
      </c>
      <c r="E69" s="125" t="str">
        <f>$AF$79</f>
        <v>monocarbonate</v>
      </c>
      <c r="F69" s="125" t="str">
        <f>$AN$79</f>
        <v>calcite</v>
      </c>
      <c r="G69" s="125" t="str">
        <f>$AV$79</f>
        <v>thaumasite</v>
      </c>
      <c r="H69" s="125" t="str">
        <f>$BD$79</f>
        <v>calcite</v>
      </c>
      <c r="I69" s="125" t="str">
        <f>$H$96</f>
        <v>Hemisulphate</v>
      </c>
      <c r="J69" s="125" t="str">
        <f>$P$96</f>
        <v>Hemicarbonate</v>
      </c>
      <c r="K69" s="125" t="str">
        <f>$X$96</f>
        <v>Hemicarbonate</v>
      </c>
      <c r="L69" s="125" t="str">
        <f>$AF$96</f>
        <v>monocarbonate</v>
      </c>
      <c r="M69" s="125" t="str">
        <f>$AN$96</f>
        <v>calcite</v>
      </c>
      <c r="N69" s="125" t="str">
        <f>$AV$96</f>
        <v>thaumasite</v>
      </c>
      <c r="O69" s="125" t="str">
        <f>$BD$96</f>
        <v>calcite</v>
      </c>
      <c r="P69" s="125" t="str">
        <f>$H$112</f>
        <v>Hemisulphate</v>
      </c>
      <c r="Q69" s="125" t="str">
        <f>$P$112</f>
        <v>Hemicarbonate</v>
      </c>
      <c r="R69" s="125" t="str">
        <f>$X$112</f>
        <v>Hemicarbonate</v>
      </c>
      <c r="S69" s="125" t="str">
        <f>$AF$112</f>
        <v>monocarbonate</v>
      </c>
      <c r="T69" s="125" t="str">
        <f>$AN$112</f>
        <v>calcite</v>
      </c>
      <c r="U69" s="125" t="str">
        <f>$AV$112</f>
        <v>thaumasite</v>
      </c>
      <c r="V69" s="125" t="str">
        <f>$BD$112</f>
        <v>calcite</v>
      </c>
      <c r="W69" s="125" t="str">
        <f>$H$129</f>
        <v>Hemisulphate</v>
      </c>
      <c r="X69" s="125" t="str">
        <f>$P$129</f>
        <v>Hemicarbonate</v>
      </c>
      <c r="Y69" s="125" t="str">
        <f>$X$129</f>
        <v>Hemicarbonate</v>
      </c>
      <c r="Z69" s="125" t="str">
        <f>$AF$129</f>
        <v>monocarbonate</v>
      </c>
      <c r="AA69" s="125" t="str">
        <f>$AN$129</f>
        <v>calcite</v>
      </c>
      <c r="AB69" s="125" t="str">
        <f>$AV$129</f>
        <v>thaumasite</v>
      </c>
      <c r="AC69" s="125" t="str">
        <f>$BD$129</f>
        <v>calcite</v>
      </c>
      <c r="AD69" s="125" t="str">
        <f>$H$146</f>
        <v>Hemisulphate</v>
      </c>
      <c r="AE69" s="125" t="str">
        <f>$P$146</f>
        <v>Hemicarbonate</v>
      </c>
      <c r="AF69" s="125" t="str">
        <f>$X$146</f>
        <v>Hemicarbonate</v>
      </c>
      <c r="AG69" s="125" t="str">
        <f>$AF$146</f>
        <v>monocarbonate</v>
      </c>
      <c r="AH69" s="125" t="str">
        <f>$AN$146</f>
        <v>calcite</v>
      </c>
      <c r="AI69" s="125" t="str">
        <f>$AV$146</f>
        <v>thaumasite</v>
      </c>
      <c r="AJ69" s="125" t="str">
        <f>$BD$146</f>
        <v>calcite</v>
      </c>
      <c r="AK69" s="125" t="str">
        <f>$H$180</f>
        <v>calcite</v>
      </c>
      <c r="AL69" s="125" t="str">
        <f>$H$163</f>
        <v>thaumasite</v>
      </c>
      <c r="AM69" s="125" t="str">
        <f>$P$180</f>
        <v>calcite</v>
      </c>
      <c r="AN69" s="125" t="str">
        <f>$X$180</f>
        <v>calcite</v>
      </c>
      <c r="AO69" s="125" t="str">
        <f>$AF$180</f>
        <v>calcite</v>
      </c>
      <c r="AP69" s="125" t="str">
        <f>$AN$180</f>
        <v>calcite</v>
      </c>
      <c r="AQ69" s="125" t="str">
        <f>$AV$180</f>
        <v>calcite</v>
      </c>
      <c r="AR69" s="125" t="str">
        <f>$BD$180</f>
        <v>calcite</v>
      </c>
      <c r="AS69" s="125" t="str">
        <f>$BL$180</f>
        <v>calcite</v>
      </c>
      <c r="AT69" s="125" t="str">
        <f>$BT$180</f>
        <v>calcite</v>
      </c>
      <c r="AU69" s="125" t="str">
        <f>$P$163</f>
        <v>thaumasite</v>
      </c>
      <c r="AV69" s="125" t="str">
        <f>$X$163</f>
        <v>thaumasite</v>
      </c>
      <c r="AW69" s="125" t="str">
        <f>$AF$163</f>
        <v>thaumasite</v>
      </c>
      <c r="AX69" s="125" t="str">
        <f>$AN$163</f>
        <v>thaumasite</v>
      </c>
      <c r="AY69" s="125" t="str">
        <f>$AV$163</f>
        <v>thaumasite</v>
      </c>
      <c r="AZ69" s="125" t="str">
        <f>$AV$163</f>
        <v>thaumasite</v>
      </c>
      <c r="BA69" s="125" t="str">
        <f>$AV$163</f>
        <v>thaumasite</v>
      </c>
      <c r="BB69" s="125" t="str">
        <f>$AV$163</f>
        <v>thaumasite</v>
      </c>
      <c r="BC69" s="125" t="str">
        <f>$H$180</f>
        <v>calcite</v>
      </c>
      <c r="BD69" s="125" t="str">
        <f>$P$180</f>
        <v>calcite</v>
      </c>
      <c r="BE69" s="125" t="str">
        <f>$X$180</f>
        <v>calcite</v>
      </c>
      <c r="BF69" s="125" t="str">
        <f>$AF$180</f>
        <v>calcite</v>
      </c>
      <c r="BG69" s="125" t="str">
        <f>$AN$180</f>
        <v>calcite</v>
      </c>
      <c r="BH69" s="125" t="str">
        <f>$AV$180</f>
        <v>calcite</v>
      </c>
      <c r="BI69" s="125" t="str">
        <f>$AV$180</f>
        <v>calcite</v>
      </c>
      <c r="BJ69" s="125" t="str">
        <f>$AV$180</f>
        <v>calcite</v>
      </c>
      <c r="BK69" s="126" t="str">
        <f>$AV$180</f>
        <v>calcite</v>
      </c>
    </row>
    <row r="70" spans="1:63" hidden="1" outlineLevel="1" x14ac:dyDescent="0.2">
      <c r="B70" s="127" t="s">
        <v>56</v>
      </c>
      <c r="C70" s="127" t="s">
        <v>57</v>
      </c>
      <c r="D70" s="127" t="s">
        <v>57</v>
      </c>
      <c r="E70" s="127" t="s">
        <v>57</v>
      </c>
      <c r="F70" s="127" t="s">
        <v>57</v>
      </c>
      <c r="G70" s="127" t="s">
        <v>57</v>
      </c>
    </row>
    <row r="71" spans="1:63" hidden="1" outlineLevel="1" x14ac:dyDescent="0.2"/>
    <row r="72" spans="1:63" collapsed="1" x14ac:dyDescent="0.2"/>
    <row r="75" spans="1:63" x14ac:dyDescent="0.2">
      <c r="B75" s="128"/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</row>
    <row r="76" spans="1:63" ht="13.5" hidden="1" outlineLevel="1" thickBot="1" x14ac:dyDescent="0.25">
      <c r="B76" s="128"/>
      <c r="C76" s="128"/>
      <c r="D76" s="128"/>
      <c r="E76" s="128"/>
      <c r="F76" s="128"/>
      <c r="G76" s="128"/>
      <c r="H76" s="128"/>
      <c r="I76" s="128"/>
      <c r="J76" s="128"/>
      <c r="K76" s="128"/>
      <c r="L76" s="128"/>
      <c r="M76" s="128"/>
      <c r="N76" s="128"/>
      <c r="O76" s="128"/>
      <c r="P76" s="128"/>
      <c r="Q76" s="128"/>
      <c r="R76" s="128"/>
      <c r="S76" s="128"/>
      <c r="T76" s="128"/>
      <c r="U76" s="128"/>
      <c r="V76" s="128"/>
      <c r="W76" s="128"/>
      <c r="X76" s="128"/>
      <c r="Y76" s="128"/>
      <c r="Z76" s="128"/>
      <c r="AA76" s="128"/>
      <c r="AB76" s="128"/>
      <c r="AC76" s="128"/>
      <c r="AD76" s="128"/>
      <c r="AE76" s="128"/>
      <c r="AF76" s="128"/>
      <c r="AG76" s="128"/>
      <c r="AH76" s="128"/>
      <c r="AI76" s="128"/>
      <c r="AJ76" s="128"/>
      <c r="AK76" s="128"/>
    </row>
    <row r="77" spans="1:63" hidden="1" outlineLevel="1" x14ac:dyDescent="0.2">
      <c r="A77" s="106" t="s">
        <v>55</v>
      </c>
      <c r="B77" s="129"/>
      <c r="C77" s="129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9"/>
      <c r="AF77" s="129"/>
      <c r="AG77" s="129"/>
      <c r="AH77" s="129"/>
      <c r="AI77" s="129"/>
      <c r="AJ77" s="129"/>
      <c r="AK77" s="129"/>
      <c r="AL77" s="130"/>
      <c r="AM77" s="130"/>
      <c r="AN77" s="130"/>
      <c r="AO77" s="130"/>
      <c r="AP77" s="130"/>
      <c r="AQ77" s="130"/>
      <c r="AR77" s="130"/>
      <c r="AS77" s="130"/>
      <c r="AT77" s="130"/>
      <c r="AU77" s="130"/>
      <c r="AV77" s="130"/>
      <c r="AW77" s="130"/>
      <c r="AX77" s="130"/>
      <c r="AY77" s="130"/>
      <c r="AZ77" s="130"/>
      <c r="BA77" s="130"/>
      <c r="BB77" s="130"/>
      <c r="BC77" s="130"/>
      <c r="BD77" s="131"/>
    </row>
    <row r="78" spans="1:63" hidden="1" outlineLevel="1" x14ac:dyDescent="0.2">
      <c r="A78" s="132"/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L78" s="133"/>
      <c r="M78" s="133"/>
      <c r="N78" s="133"/>
      <c r="O78" s="133"/>
      <c r="P78" s="133"/>
      <c r="Q78" s="133"/>
      <c r="R78" s="133"/>
      <c r="S78" s="133"/>
      <c r="T78" s="133"/>
      <c r="U78" s="133"/>
      <c r="V78" s="133"/>
      <c r="W78" s="133"/>
      <c r="X78" s="133"/>
      <c r="Y78" s="133"/>
      <c r="Z78" s="133"/>
      <c r="AA78" s="133"/>
      <c r="AB78" s="133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3"/>
      <c r="BD78" s="134"/>
    </row>
    <row r="79" spans="1:63" hidden="1" outlineLevel="1" x14ac:dyDescent="0.2">
      <c r="A79" s="135" t="s">
        <v>58</v>
      </c>
      <c r="B79" s="136">
        <v>21</v>
      </c>
      <c r="C79" s="136" t="s">
        <v>59</v>
      </c>
      <c r="D79" s="136" t="str">
        <f>$C$218</f>
        <v>portlandite</v>
      </c>
      <c r="E79" s="136" t="str">
        <f>$D$218</f>
        <v>C1.75SH4.4</v>
      </c>
      <c r="F79" s="136" t="str">
        <f>$M$218</f>
        <v>Hydrogarnet</v>
      </c>
      <c r="G79" s="136" t="str">
        <f>$O$218</f>
        <v>Hemicarbonate</v>
      </c>
      <c r="H79" s="136" t="str">
        <f>$Q$218</f>
        <v>Hemisulphate</v>
      </c>
      <c r="I79" s="133"/>
      <c r="J79" s="136">
        <v>22</v>
      </c>
      <c r="K79" s="136" t="s">
        <v>59</v>
      </c>
      <c r="L79" s="136" t="str">
        <f>$C$218</f>
        <v>portlandite</v>
      </c>
      <c r="M79" s="136" t="str">
        <f>$D$218</f>
        <v>C1.75SH4.4</v>
      </c>
      <c r="N79" s="136" t="str">
        <f>$R$218</f>
        <v>monosulphate</v>
      </c>
      <c r="O79" s="136" t="str">
        <f>$Q$218</f>
        <v>Hemisulphate</v>
      </c>
      <c r="P79" s="136" t="str">
        <f>$O$218</f>
        <v>Hemicarbonate</v>
      </c>
      <c r="Q79" s="133"/>
      <c r="R79" s="136">
        <v>23</v>
      </c>
      <c r="S79" s="136" t="s">
        <v>59</v>
      </c>
      <c r="T79" s="136" t="str">
        <f>$C$218</f>
        <v>portlandite</v>
      </c>
      <c r="U79" s="136" t="str">
        <f>$D$218</f>
        <v>C1.75SH4.4</v>
      </c>
      <c r="V79" s="136" t="str">
        <f>$R$218</f>
        <v>monosulphate</v>
      </c>
      <c r="W79" s="136" t="str">
        <f>$S$218</f>
        <v>ettringite</v>
      </c>
      <c r="X79" s="136" t="str">
        <f>$O$218</f>
        <v>Hemicarbonate</v>
      </c>
      <c r="Y79" s="133"/>
      <c r="Z79" s="136">
        <v>24</v>
      </c>
      <c r="AA79" s="136" t="s">
        <v>59</v>
      </c>
      <c r="AB79" s="136" t="str">
        <f>$C$218</f>
        <v>portlandite</v>
      </c>
      <c r="AC79" s="136" t="str">
        <f>$D$218</f>
        <v>C1.75SH4.4</v>
      </c>
      <c r="AD79" s="136" t="str">
        <f>$O$218</f>
        <v>Hemicarbonate</v>
      </c>
      <c r="AE79" s="136" t="str">
        <f>$S$218</f>
        <v>ettringite</v>
      </c>
      <c r="AF79" s="136" t="str">
        <f>$P$218</f>
        <v>monocarbonate</v>
      </c>
      <c r="AG79" s="133"/>
      <c r="AH79" s="136">
        <v>25</v>
      </c>
      <c r="AI79" s="136" t="s">
        <v>59</v>
      </c>
      <c r="AJ79" s="136" t="str">
        <f>$C$218</f>
        <v>portlandite</v>
      </c>
      <c r="AK79" s="136" t="str">
        <f>$D$218</f>
        <v>C1.75SH4.4</v>
      </c>
      <c r="AL79" s="136" t="str">
        <f>$S$218</f>
        <v>ettringite</v>
      </c>
      <c r="AM79" s="136" t="str">
        <f>$P$218</f>
        <v>monocarbonate</v>
      </c>
      <c r="AN79" s="136" t="str">
        <f>$U$218</f>
        <v>calcite</v>
      </c>
      <c r="AO79" s="133"/>
      <c r="AP79" s="136">
        <v>26</v>
      </c>
      <c r="AQ79" s="136" t="s">
        <v>59</v>
      </c>
      <c r="AR79" s="136" t="str">
        <f>$C$218</f>
        <v>portlandite</v>
      </c>
      <c r="AS79" s="136" t="str">
        <f>$D$218</f>
        <v>C1.75SH4.4</v>
      </c>
      <c r="AT79" s="136" t="str">
        <f>$S$218</f>
        <v>ettringite</v>
      </c>
      <c r="AU79" s="136" t="str">
        <f>$T$218</f>
        <v>gypsum</v>
      </c>
      <c r="AV79" s="136" t="str">
        <f>$V$218</f>
        <v>thaumasite</v>
      </c>
      <c r="AW79" s="133"/>
      <c r="AX79" s="136">
        <v>27</v>
      </c>
      <c r="AY79" s="136" t="s">
        <v>59</v>
      </c>
      <c r="AZ79" s="136" t="str">
        <f>$C$218</f>
        <v>portlandite</v>
      </c>
      <c r="BA79" s="136" t="str">
        <f>$D$218</f>
        <v>C1.75SH4.4</v>
      </c>
      <c r="BB79" s="136" t="str">
        <f>$S$218</f>
        <v>ettringite</v>
      </c>
      <c r="BC79" s="136" t="str">
        <f>$V$218</f>
        <v>thaumasite</v>
      </c>
      <c r="BD79" s="137" t="str">
        <f>$U$218</f>
        <v>calcite</v>
      </c>
    </row>
    <row r="80" spans="1:63" hidden="1" outlineLevel="1" x14ac:dyDescent="0.2">
      <c r="A80" s="132"/>
      <c r="B80" s="133"/>
      <c r="C80" s="138">
        <v>0</v>
      </c>
      <c r="D80" s="138">
        <f>$C$219</f>
        <v>0.75685479321304083</v>
      </c>
      <c r="E80" s="138">
        <f>$D$219</f>
        <v>0.42615545963501011</v>
      </c>
      <c r="F80" s="138">
        <f>$M$219</f>
        <v>0.44472323706657291</v>
      </c>
      <c r="G80" s="138">
        <f>$O$219</f>
        <v>0.34771498375494458</v>
      </c>
      <c r="H80" s="138">
        <f>$Q$219</f>
        <v>0.33182231315971239</v>
      </c>
      <c r="I80" s="133"/>
      <c r="J80" s="133"/>
      <c r="K80" s="138">
        <v>0</v>
      </c>
      <c r="L80" s="138">
        <f>$C$219</f>
        <v>0.75685479321304083</v>
      </c>
      <c r="M80" s="138">
        <f>$D$219</f>
        <v>0.42615545963501011</v>
      </c>
      <c r="N80" s="138">
        <f>$R$219</f>
        <v>0.27024452567298896</v>
      </c>
      <c r="O80" s="138">
        <f>$Q$219</f>
        <v>0.33182231315971239</v>
      </c>
      <c r="P80" s="138">
        <f>$O$219</f>
        <v>0.34771498375494458</v>
      </c>
      <c r="Q80" s="133"/>
      <c r="R80" s="133"/>
      <c r="S80" s="138">
        <v>0</v>
      </c>
      <c r="T80" s="138">
        <f>$C$219</f>
        <v>0.75685479321304083</v>
      </c>
      <c r="U80" s="138">
        <f>$D$219</f>
        <v>0.42615545963501011</v>
      </c>
      <c r="V80" s="138">
        <f>$R$219</f>
        <v>0.27024452567298896</v>
      </c>
      <c r="W80" s="138">
        <f>$S$219</f>
        <v>0.13403810838353239</v>
      </c>
      <c r="X80" s="138">
        <f>$O$219</f>
        <v>0.34771498375494458</v>
      </c>
      <c r="Y80" s="133"/>
      <c r="Z80" s="133"/>
      <c r="AA80" s="138">
        <v>0</v>
      </c>
      <c r="AB80" s="138">
        <f>$C$219</f>
        <v>0.75685479321304083</v>
      </c>
      <c r="AC80" s="138">
        <f>$D$219</f>
        <v>0.42615545963501011</v>
      </c>
      <c r="AD80" s="138">
        <f>$O$219</f>
        <v>0.34771498375494458</v>
      </c>
      <c r="AE80" s="138">
        <f>$S$219</f>
        <v>0.13403810838353239</v>
      </c>
      <c r="AF80" s="138">
        <f>$P$219</f>
        <v>0.29594963069652797</v>
      </c>
      <c r="AG80" s="133"/>
      <c r="AH80" s="133"/>
      <c r="AI80" s="138">
        <v>0</v>
      </c>
      <c r="AJ80" s="138">
        <f>$C$219</f>
        <v>0.75685479321304083</v>
      </c>
      <c r="AK80" s="138">
        <f>$D$219</f>
        <v>0.42615545963501011</v>
      </c>
      <c r="AL80" s="138">
        <f>$S$219</f>
        <v>0.13403810838353239</v>
      </c>
      <c r="AM80" s="138">
        <f>$P$219</f>
        <v>0.29594963069652797</v>
      </c>
      <c r="AN80" s="138">
        <f>$U$219</f>
        <v>0</v>
      </c>
      <c r="AO80" s="133"/>
      <c r="AP80" s="133"/>
      <c r="AQ80" s="138">
        <v>0</v>
      </c>
      <c r="AR80" s="138">
        <f>$C$219</f>
        <v>0.75685479321304083</v>
      </c>
      <c r="AS80" s="138">
        <f>$D$219</f>
        <v>0.42615545963501011</v>
      </c>
      <c r="AT80" s="138">
        <f>$S$219</f>
        <v>0.13403810838353239</v>
      </c>
      <c r="AU80" s="138">
        <f>$T$219</f>
        <v>0</v>
      </c>
      <c r="AV80" s="138">
        <f>$V$219</f>
        <v>9.0066857826695823E-2</v>
      </c>
      <c r="AW80" s="133"/>
      <c r="AX80" s="133"/>
      <c r="AY80" s="138">
        <v>0</v>
      </c>
      <c r="AZ80" s="138">
        <f>$C$219</f>
        <v>0.75685479321304083</v>
      </c>
      <c r="BA80" s="138">
        <f>$D$219</f>
        <v>0.42615545963501011</v>
      </c>
      <c r="BB80" s="138">
        <f>$S$219</f>
        <v>0.13403810838353239</v>
      </c>
      <c r="BC80" s="138">
        <f>$V$219</f>
        <v>9.0066857826695823E-2</v>
      </c>
      <c r="BD80" s="139">
        <f>$U$219</f>
        <v>0</v>
      </c>
    </row>
    <row r="81" spans="1:56" hidden="1" outlineLevel="1" x14ac:dyDescent="0.2">
      <c r="A81" s="132"/>
      <c r="B81" s="133"/>
      <c r="C81" s="138">
        <v>0</v>
      </c>
      <c r="D81" s="138">
        <f>$C$220</f>
        <v>0</v>
      </c>
      <c r="E81" s="138">
        <f>$D$220</f>
        <v>0.26091746135925231</v>
      </c>
      <c r="F81" s="138">
        <f>$M$220</f>
        <v>0</v>
      </c>
      <c r="G81" s="138">
        <f>$O$220</f>
        <v>0</v>
      </c>
      <c r="H81" s="138">
        <f>$Q$220</f>
        <v>0</v>
      </c>
      <c r="I81" s="133"/>
      <c r="J81" s="133"/>
      <c r="K81" s="138">
        <v>0</v>
      </c>
      <c r="L81" s="138">
        <f>$C$220</f>
        <v>0</v>
      </c>
      <c r="M81" s="138">
        <f>$D$220</f>
        <v>0.26091746135925231</v>
      </c>
      <c r="N81" s="138">
        <f>$R$220</f>
        <v>0</v>
      </c>
      <c r="O81" s="138">
        <f>$Q$220</f>
        <v>0</v>
      </c>
      <c r="P81" s="138">
        <f>$O$220</f>
        <v>0</v>
      </c>
      <c r="Q81" s="133"/>
      <c r="R81" s="133"/>
      <c r="S81" s="138">
        <v>0</v>
      </c>
      <c r="T81" s="138">
        <f>$C$220</f>
        <v>0</v>
      </c>
      <c r="U81" s="138">
        <f>$D$220</f>
        <v>0.26091746135925231</v>
      </c>
      <c r="V81" s="138">
        <f>$R$220</f>
        <v>0</v>
      </c>
      <c r="W81" s="138">
        <f>$S$220</f>
        <v>0</v>
      </c>
      <c r="X81" s="138">
        <f>$O$220</f>
        <v>0</v>
      </c>
      <c r="Y81" s="133"/>
      <c r="Z81" s="133"/>
      <c r="AA81" s="138">
        <v>0</v>
      </c>
      <c r="AB81" s="138">
        <f>$C$220</f>
        <v>0</v>
      </c>
      <c r="AC81" s="138">
        <f>$D$220</f>
        <v>0.26091746135925231</v>
      </c>
      <c r="AD81" s="138">
        <f>$O$220</f>
        <v>0</v>
      </c>
      <c r="AE81" s="138">
        <f>$S$220</f>
        <v>0</v>
      </c>
      <c r="AF81" s="138">
        <f>$P$220</f>
        <v>0</v>
      </c>
      <c r="AG81" s="133"/>
      <c r="AH81" s="133"/>
      <c r="AI81" s="138">
        <v>0</v>
      </c>
      <c r="AJ81" s="138">
        <f>$C$220</f>
        <v>0</v>
      </c>
      <c r="AK81" s="138">
        <f>$D$220</f>
        <v>0.26091746135925231</v>
      </c>
      <c r="AL81" s="138">
        <f>$S$220</f>
        <v>0</v>
      </c>
      <c r="AM81" s="138">
        <f>$P$220</f>
        <v>0</v>
      </c>
      <c r="AN81" s="138">
        <f>$U$220</f>
        <v>0</v>
      </c>
      <c r="AO81" s="133"/>
      <c r="AP81" s="133"/>
      <c r="AQ81" s="138">
        <v>0</v>
      </c>
      <c r="AR81" s="138">
        <f>$C$220</f>
        <v>0</v>
      </c>
      <c r="AS81" s="138">
        <f>$D$220</f>
        <v>0.26091746135925231</v>
      </c>
      <c r="AT81" s="138">
        <f>$S$220</f>
        <v>0</v>
      </c>
      <c r="AU81" s="138">
        <f>$T$220</f>
        <v>0</v>
      </c>
      <c r="AV81" s="138">
        <f>$V$220</f>
        <v>9.6502407488873232E-2</v>
      </c>
      <c r="AW81" s="133"/>
      <c r="AX81" s="133"/>
      <c r="AY81" s="138">
        <v>0</v>
      </c>
      <c r="AZ81" s="138">
        <f>$C$220</f>
        <v>0</v>
      </c>
      <c r="BA81" s="138">
        <f>$D$220</f>
        <v>0.26091746135925231</v>
      </c>
      <c r="BB81" s="138">
        <f>$S$220</f>
        <v>0</v>
      </c>
      <c r="BC81" s="138">
        <f>$V$220</f>
        <v>9.6502407488873232E-2</v>
      </c>
      <c r="BD81" s="139">
        <f>$U$220</f>
        <v>0</v>
      </c>
    </row>
    <row r="82" spans="1:56" hidden="1" outlineLevel="1" x14ac:dyDescent="0.2">
      <c r="A82" s="132"/>
      <c r="B82" s="133"/>
      <c r="C82" s="138">
        <v>0</v>
      </c>
      <c r="D82" s="138">
        <f>$C$221</f>
        <v>0</v>
      </c>
      <c r="E82" s="138">
        <f>$D$221</f>
        <v>0</v>
      </c>
      <c r="F82" s="138">
        <f>$M$221</f>
        <v>0.26953549681692768</v>
      </c>
      <c r="G82" s="138">
        <f>$O$221</f>
        <v>0.18063535716911364</v>
      </c>
      <c r="H82" s="138">
        <f>$Q$221</f>
        <v>0.17237923257436782</v>
      </c>
      <c r="I82" s="133"/>
      <c r="J82" s="133"/>
      <c r="K82" s="138">
        <v>0</v>
      </c>
      <c r="L82" s="138">
        <f>$C$221</f>
        <v>0</v>
      </c>
      <c r="M82" s="138">
        <f>$D$221</f>
        <v>0</v>
      </c>
      <c r="N82" s="138">
        <f>$R$221</f>
        <v>0.16378836637767183</v>
      </c>
      <c r="O82" s="138">
        <f>$Q$221</f>
        <v>0.17237923257436782</v>
      </c>
      <c r="P82" s="138">
        <f>$O$221</f>
        <v>0.18063535716911364</v>
      </c>
      <c r="Q82" s="133"/>
      <c r="R82" s="133"/>
      <c r="S82" s="138">
        <v>0</v>
      </c>
      <c r="T82" s="138">
        <f>$C$221</f>
        <v>0</v>
      </c>
      <c r="U82" s="138">
        <f>$D$221</f>
        <v>0</v>
      </c>
      <c r="V82" s="138">
        <f>$R$221</f>
        <v>0.16378836637767183</v>
      </c>
      <c r="W82" s="138">
        <f>$S$221</f>
        <v>8.1237104617828668E-2</v>
      </c>
      <c r="X82" s="138">
        <f>$O$221</f>
        <v>0.18063535716911364</v>
      </c>
      <c r="Y82" s="133"/>
      <c r="Z82" s="133"/>
      <c r="AA82" s="138">
        <v>0</v>
      </c>
      <c r="AB82" s="138">
        <f>$C$221</f>
        <v>0</v>
      </c>
      <c r="AC82" s="138">
        <f>$D$221</f>
        <v>0</v>
      </c>
      <c r="AD82" s="138">
        <f>$O$221</f>
        <v>0.18063535716911364</v>
      </c>
      <c r="AE82" s="138">
        <f>$S$221</f>
        <v>8.1237104617828668E-2</v>
      </c>
      <c r="AF82" s="138">
        <f>$P$221</f>
        <v>0.17936757986548366</v>
      </c>
      <c r="AG82" s="133"/>
      <c r="AH82" s="133"/>
      <c r="AI82" s="138">
        <v>0</v>
      </c>
      <c r="AJ82" s="138">
        <f>$C$221</f>
        <v>0</v>
      </c>
      <c r="AK82" s="138">
        <f>$D$221</f>
        <v>0</v>
      </c>
      <c r="AL82" s="138">
        <f>$S$221</f>
        <v>8.1237104617828668E-2</v>
      </c>
      <c r="AM82" s="138">
        <f>$P$221</f>
        <v>0.17936757986548366</v>
      </c>
      <c r="AN82" s="138">
        <f>$U$221</f>
        <v>0</v>
      </c>
      <c r="AO82" s="133"/>
      <c r="AP82" s="133"/>
      <c r="AQ82" s="138">
        <v>0</v>
      </c>
      <c r="AR82" s="138">
        <f>$C$221</f>
        <v>0</v>
      </c>
      <c r="AS82" s="138">
        <f>$D$221</f>
        <v>0</v>
      </c>
      <c r="AT82" s="138">
        <f>$S$221</f>
        <v>8.1237104617828668E-2</v>
      </c>
      <c r="AU82" s="138">
        <f>$T$221</f>
        <v>0</v>
      </c>
      <c r="AV82" s="138">
        <f>$V$221</f>
        <v>0</v>
      </c>
      <c r="AW82" s="133"/>
      <c r="AX82" s="133"/>
      <c r="AY82" s="138">
        <v>0</v>
      </c>
      <c r="AZ82" s="138">
        <f>$C$221</f>
        <v>0</v>
      </c>
      <c r="BA82" s="138">
        <f>$D$221</f>
        <v>0</v>
      </c>
      <c r="BB82" s="138">
        <f>$S$221</f>
        <v>8.1237104617828668E-2</v>
      </c>
      <c r="BC82" s="138">
        <f>$V$221</f>
        <v>0</v>
      </c>
      <c r="BD82" s="139">
        <f>$U$221</f>
        <v>0</v>
      </c>
    </row>
    <row r="83" spans="1:56" hidden="1" outlineLevel="1" x14ac:dyDescent="0.2">
      <c r="A83" s="132"/>
      <c r="B83" s="133"/>
      <c r="C83" s="138">
        <v>0</v>
      </c>
      <c r="D83" s="138">
        <f>$C$222</f>
        <v>0</v>
      </c>
      <c r="E83" s="138">
        <f>$D$222</f>
        <v>0</v>
      </c>
      <c r="F83" s="138">
        <f>$M$222</f>
        <v>0</v>
      </c>
      <c r="G83" s="138">
        <f>$O$222</f>
        <v>8.8657613334625476E-2</v>
      </c>
      <c r="H83" s="138">
        <f>$Q$222</f>
        <v>0</v>
      </c>
      <c r="I83" s="133"/>
      <c r="J83" s="133"/>
      <c r="K83" s="138">
        <v>0</v>
      </c>
      <c r="L83" s="138">
        <f>$C$222</f>
        <v>0</v>
      </c>
      <c r="M83" s="138">
        <f>$D$222</f>
        <v>0</v>
      </c>
      <c r="N83" s="138">
        <f>$R$222</f>
        <v>0</v>
      </c>
      <c r="O83" s="138">
        <f>$Q$222</f>
        <v>0</v>
      </c>
      <c r="P83" s="138">
        <f>$O$222</f>
        <v>8.8657613334625476E-2</v>
      </c>
      <c r="Q83" s="133"/>
      <c r="R83" s="133"/>
      <c r="S83" s="138">
        <v>0</v>
      </c>
      <c r="T83" s="138">
        <f>$C$222</f>
        <v>0</v>
      </c>
      <c r="U83" s="138">
        <f>$D$222</f>
        <v>0</v>
      </c>
      <c r="V83" s="138">
        <f>$R$222</f>
        <v>0</v>
      </c>
      <c r="W83" s="138">
        <f>$S$222</f>
        <v>0</v>
      </c>
      <c r="X83" s="138">
        <f>$O$222</f>
        <v>8.8657613334625476E-2</v>
      </c>
      <c r="Y83" s="133"/>
      <c r="Z83" s="133"/>
      <c r="AA83" s="138">
        <v>0</v>
      </c>
      <c r="AB83" s="138">
        <f>$C$222</f>
        <v>0</v>
      </c>
      <c r="AC83" s="138">
        <f>$D$222</f>
        <v>0</v>
      </c>
      <c r="AD83" s="138">
        <f>$O$222</f>
        <v>8.8657613334625476E-2</v>
      </c>
      <c r="AE83" s="138">
        <f>$S$222</f>
        <v>0</v>
      </c>
      <c r="AF83" s="138">
        <f>$P$222</f>
        <v>0.17607075148187762</v>
      </c>
      <c r="AG83" s="133"/>
      <c r="AH83" s="133"/>
      <c r="AI83" s="138">
        <v>0</v>
      </c>
      <c r="AJ83" s="138">
        <f>$C$222</f>
        <v>0</v>
      </c>
      <c r="AK83" s="138">
        <f>$D$222</f>
        <v>0</v>
      </c>
      <c r="AL83" s="138">
        <f>$S$222</f>
        <v>0</v>
      </c>
      <c r="AM83" s="138">
        <f>$P$222</f>
        <v>0.17607075148187762</v>
      </c>
      <c r="AN83" s="138">
        <f>$U$222</f>
        <v>1</v>
      </c>
      <c r="AO83" s="133"/>
      <c r="AP83" s="133"/>
      <c r="AQ83" s="138">
        <v>0</v>
      </c>
      <c r="AR83" s="138">
        <f>$C$222</f>
        <v>0</v>
      </c>
      <c r="AS83" s="138">
        <f>$D$222</f>
        <v>0</v>
      </c>
      <c r="AT83" s="138">
        <f>$S$222</f>
        <v>0</v>
      </c>
      <c r="AU83" s="138">
        <f>$T$222</f>
        <v>0</v>
      </c>
      <c r="AV83" s="138">
        <f>$V$222</f>
        <v>0.16075173978593996</v>
      </c>
      <c r="AW83" s="133"/>
      <c r="AX83" s="133"/>
      <c r="AY83" s="138">
        <v>0</v>
      </c>
      <c r="AZ83" s="138">
        <f>$C$222</f>
        <v>0</v>
      </c>
      <c r="BA83" s="138">
        <f>$D$222</f>
        <v>0</v>
      </c>
      <c r="BB83" s="138">
        <f>$S$222</f>
        <v>0</v>
      </c>
      <c r="BC83" s="138">
        <f>$V$222</f>
        <v>0.16075173978593996</v>
      </c>
      <c r="BD83" s="139">
        <f>$U$222</f>
        <v>1</v>
      </c>
    </row>
    <row r="84" spans="1:56" hidden="1" outlineLevel="1" x14ac:dyDescent="0.2">
      <c r="A84" s="132"/>
      <c r="B84" s="133"/>
      <c r="C84" s="138">
        <v>0</v>
      </c>
      <c r="D84" s="138">
        <f>$C$223</f>
        <v>0</v>
      </c>
      <c r="E84" s="138">
        <f>$D$223</f>
        <v>0</v>
      </c>
      <c r="F84" s="138">
        <f>$M$223</f>
        <v>0</v>
      </c>
      <c r="G84" s="138">
        <f>$O$223</f>
        <v>0</v>
      </c>
      <c r="H84" s="138">
        <f>$Q$223</f>
        <v>0.1150828284510447</v>
      </c>
      <c r="I84" s="133"/>
      <c r="J84" s="133"/>
      <c r="K84" s="138">
        <v>0</v>
      </c>
      <c r="L84" s="138">
        <f>$C$223</f>
        <v>0</v>
      </c>
      <c r="M84" s="138">
        <f>$D$223</f>
        <v>0</v>
      </c>
      <c r="N84" s="138">
        <f>$R$223</f>
        <v>0.21869488787736116</v>
      </c>
      <c r="O84" s="138">
        <f>$Q$223</f>
        <v>0.1150828284510447</v>
      </c>
      <c r="P84" s="138">
        <f>$O$223</f>
        <v>0</v>
      </c>
      <c r="Q84" s="133"/>
      <c r="R84" s="133"/>
      <c r="S84" s="138">
        <v>0</v>
      </c>
      <c r="T84" s="138">
        <f>$C$223</f>
        <v>0</v>
      </c>
      <c r="U84" s="138">
        <f>$D$223</f>
        <v>0</v>
      </c>
      <c r="V84" s="138">
        <f>$R$223</f>
        <v>0.21869488787736116</v>
      </c>
      <c r="W84" s="138">
        <f>$S$223</f>
        <v>0.32541028179458237</v>
      </c>
      <c r="X84" s="138">
        <f>$O$223</f>
        <v>0</v>
      </c>
      <c r="Y84" s="133"/>
      <c r="Z84" s="133"/>
      <c r="AA84" s="138">
        <v>0</v>
      </c>
      <c r="AB84" s="138">
        <f>$C$223</f>
        <v>0</v>
      </c>
      <c r="AC84" s="138">
        <f>$D$223</f>
        <v>0</v>
      </c>
      <c r="AD84" s="138">
        <f>$O$223</f>
        <v>0</v>
      </c>
      <c r="AE84" s="138">
        <f>$S$223</f>
        <v>0.32541028179458237</v>
      </c>
      <c r="AF84" s="138">
        <f>$P$223</f>
        <v>0</v>
      </c>
      <c r="AG84" s="133"/>
      <c r="AH84" s="133"/>
      <c r="AI84" s="138">
        <v>0</v>
      </c>
      <c r="AJ84" s="138">
        <f>$C$223</f>
        <v>0</v>
      </c>
      <c r="AK84" s="138">
        <f>$D$223</f>
        <v>0</v>
      </c>
      <c r="AL84" s="138">
        <f>$S$223</f>
        <v>0.32541028179458237</v>
      </c>
      <c r="AM84" s="138">
        <f>$P$223</f>
        <v>0</v>
      </c>
      <c r="AN84" s="138">
        <f>$U$223</f>
        <v>0</v>
      </c>
      <c r="AO84" s="133"/>
      <c r="AP84" s="133"/>
      <c r="AQ84" s="138">
        <v>0</v>
      </c>
      <c r="AR84" s="138">
        <f>$C$223</f>
        <v>0</v>
      </c>
      <c r="AS84" s="138">
        <f>$D$223</f>
        <v>0</v>
      </c>
      <c r="AT84" s="138">
        <f>$S$223</f>
        <v>0.32541028179458237</v>
      </c>
      <c r="AU84" s="138">
        <f>$T$223</f>
        <v>0.79072946520505982</v>
      </c>
      <c r="AV84" s="138">
        <f>$V$223</f>
        <v>0.21865931964568422</v>
      </c>
      <c r="AW84" s="133"/>
      <c r="AX84" s="133"/>
      <c r="AY84" s="138">
        <v>0</v>
      </c>
      <c r="AZ84" s="138">
        <f>$C$223</f>
        <v>0</v>
      </c>
      <c r="BA84" s="138">
        <f>$D$223</f>
        <v>0</v>
      </c>
      <c r="BB84" s="138">
        <f>$S$223</f>
        <v>0.32541028179458237</v>
      </c>
      <c r="BC84" s="138">
        <f>$V$223</f>
        <v>0.21865931964568422</v>
      </c>
      <c r="BD84" s="139">
        <f>$U$223</f>
        <v>0</v>
      </c>
    </row>
    <row r="85" spans="1:56" hidden="1" outlineLevel="1" x14ac:dyDescent="0.2">
      <c r="A85" s="132"/>
      <c r="B85" s="133"/>
      <c r="C85" s="138">
        <v>1</v>
      </c>
      <c r="D85" s="138">
        <f>$C$224</f>
        <v>0.24314520678695925</v>
      </c>
      <c r="E85" s="138">
        <f>$D$224</f>
        <v>0.31292707900573768</v>
      </c>
      <c r="F85" s="138">
        <f>$M$224</f>
        <v>0.2857412661164993</v>
      </c>
      <c r="G85" s="138">
        <f>$O$224</f>
        <v>0.3829920457413164</v>
      </c>
      <c r="H85" s="138">
        <f>$Q$224</f>
        <v>0.38071562581487517</v>
      </c>
      <c r="I85" s="133"/>
      <c r="J85" s="133"/>
      <c r="K85" s="138">
        <v>1</v>
      </c>
      <c r="L85" s="138">
        <f>$C$224</f>
        <v>0.24314520678695925</v>
      </c>
      <c r="M85" s="138">
        <f>$D$224</f>
        <v>0.31292707900573768</v>
      </c>
      <c r="N85" s="138">
        <f>$R$224</f>
        <v>0.34727222007197794</v>
      </c>
      <c r="O85" s="138">
        <f>$Q$224</f>
        <v>0.38071562581487517</v>
      </c>
      <c r="P85" s="138">
        <f>$O$224</f>
        <v>0.3829920457413164</v>
      </c>
      <c r="Q85" s="133"/>
      <c r="R85" s="133"/>
      <c r="S85" s="138">
        <v>1</v>
      </c>
      <c r="T85" s="138">
        <f>$C$224</f>
        <v>0.24314520678695925</v>
      </c>
      <c r="U85" s="138">
        <f>$D$224</f>
        <v>0.31292707900573768</v>
      </c>
      <c r="V85" s="138">
        <f>$R$224</f>
        <v>0.34727222007197794</v>
      </c>
      <c r="W85" s="138">
        <f>$S$224</f>
        <v>0.45931450520405653</v>
      </c>
      <c r="X85" s="138">
        <f>$O$224</f>
        <v>0.3829920457413164</v>
      </c>
      <c r="Y85" s="133"/>
      <c r="Z85" s="133"/>
      <c r="AA85" s="138">
        <v>1</v>
      </c>
      <c r="AB85" s="138">
        <f>$C$224</f>
        <v>0.24314520678695925</v>
      </c>
      <c r="AC85" s="138">
        <f>$D$224</f>
        <v>0.31292707900573768</v>
      </c>
      <c r="AD85" s="138">
        <f>$O$224</f>
        <v>0.3829920457413164</v>
      </c>
      <c r="AE85" s="138">
        <f>$S$224</f>
        <v>0.45931450520405653</v>
      </c>
      <c r="AF85" s="138">
        <f>$P$224</f>
        <v>0.34861203795611073</v>
      </c>
      <c r="AG85" s="133"/>
      <c r="AH85" s="133"/>
      <c r="AI85" s="138">
        <v>1</v>
      </c>
      <c r="AJ85" s="138">
        <f>$C$224</f>
        <v>0.24314520678695925</v>
      </c>
      <c r="AK85" s="138">
        <f>$D$224</f>
        <v>0.31292707900573768</v>
      </c>
      <c r="AL85" s="138">
        <f>$S$224</f>
        <v>0.45931450520405653</v>
      </c>
      <c r="AM85" s="138">
        <f>$P$224</f>
        <v>0.34861203795611073</v>
      </c>
      <c r="AN85" s="138">
        <f>$U$224</f>
        <v>0</v>
      </c>
      <c r="AO85" s="133"/>
      <c r="AP85" s="133"/>
      <c r="AQ85" s="138">
        <v>1</v>
      </c>
      <c r="AR85" s="138">
        <f>$C$224</f>
        <v>0.24314520678695925</v>
      </c>
      <c r="AS85" s="138">
        <f>$D$224</f>
        <v>0.31292707900573768</v>
      </c>
      <c r="AT85" s="138">
        <f>$S$224</f>
        <v>0.45931450520405653</v>
      </c>
      <c r="AU85" s="138">
        <f>$T$224</f>
        <v>0.20927053479494012</v>
      </c>
      <c r="AV85" s="138">
        <f>$V$224</f>
        <v>0.43401967525280682</v>
      </c>
      <c r="AW85" s="133"/>
      <c r="AX85" s="133"/>
      <c r="AY85" s="138">
        <v>1</v>
      </c>
      <c r="AZ85" s="138">
        <f>$C$224</f>
        <v>0.24314520678695925</v>
      </c>
      <c r="BA85" s="138">
        <f>$D$224</f>
        <v>0.31292707900573768</v>
      </c>
      <c r="BB85" s="138">
        <f>$S$224</f>
        <v>0.45931450520405653</v>
      </c>
      <c r="BC85" s="138">
        <f>$V$224</f>
        <v>0.43401967525280682</v>
      </c>
      <c r="BD85" s="139">
        <f>$U$224</f>
        <v>0</v>
      </c>
    </row>
    <row r="86" spans="1:56" hidden="1" outlineLevel="1" x14ac:dyDescent="0.2">
      <c r="A86" s="132"/>
      <c r="B86" s="133"/>
      <c r="C86" s="140">
        <f t="shared" ref="C86:H86" si="80">SUM(C80:C85)</f>
        <v>1</v>
      </c>
      <c r="D86" s="140">
        <f t="shared" si="80"/>
        <v>1</v>
      </c>
      <c r="E86" s="140">
        <f t="shared" si="80"/>
        <v>1</v>
      </c>
      <c r="F86" s="140">
        <f t="shared" si="80"/>
        <v>0.99999999999999989</v>
      </c>
      <c r="G86" s="140">
        <f t="shared" si="80"/>
        <v>1</v>
      </c>
      <c r="H86" s="140">
        <f t="shared" si="80"/>
        <v>1</v>
      </c>
      <c r="I86" s="133"/>
      <c r="J86" s="133"/>
      <c r="K86" s="140">
        <f t="shared" ref="K86:P86" si="81">SUM(K80:K85)</f>
        <v>1</v>
      </c>
      <c r="L86" s="140">
        <f t="shared" si="81"/>
        <v>1</v>
      </c>
      <c r="M86" s="140">
        <f t="shared" si="81"/>
        <v>1</v>
      </c>
      <c r="N86" s="140">
        <f t="shared" si="81"/>
        <v>0.99999999999999978</v>
      </c>
      <c r="O86" s="140">
        <f t="shared" si="81"/>
        <v>1</v>
      </c>
      <c r="P86" s="140">
        <f t="shared" si="81"/>
        <v>1</v>
      </c>
      <c r="Q86" s="133"/>
      <c r="R86" s="133"/>
      <c r="S86" s="140">
        <f t="shared" ref="S86:X86" si="82">SUM(S80:S85)</f>
        <v>1</v>
      </c>
      <c r="T86" s="140">
        <f t="shared" si="82"/>
        <v>1</v>
      </c>
      <c r="U86" s="140">
        <f t="shared" si="82"/>
        <v>1</v>
      </c>
      <c r="V86" s="140">
        <f t="shared" si="82"/>
        <v>0.99999999999999978</v>
      </c>
      <c r="W86" s="140">
        <f t="shared" si="82"/>
        <v>1</v>
      </c>
      <c r="X86" s="140">
        <f t="shared" si="82"/>
        <v>1</v>
      </c>
      <c r="Y86" s="133"/>
      <c r="Z86" s="133"/>
      <c r="AA86" s="140">
        <f t="shared" ref="AA86:AF86" si="83">SUM(AA80:AA85)</f>
        <v>1</v>
      </c>
      <c r="AB86" s="140">
        <f t="shared" si="83"/>
        <v>1</v>
      </c>
      <c r="AC86" s="140">
        <f t="shared" si="83"/>
        <v>1</v>
      </c>
      <c r="AD86" s="140">
        <f t="shared" si="83"/>
        <v>1</v>
      </c>
      <c r="AE86" s="140">
        <f t="shared" si="83"/>
        <v>1</v>
      </c>
      <c r="AF86" s="140">
        <f t="shared" si="83"/>
        <v>0.99999999999999989</v>
      </c>
      <c r="AG86" s="133"/>
      <c r="AH86" s="133"/>
      <c r="AI86" s="140">
        <f t="shared" ref="AI86:AN86" si="84">SUM(AI80:AI85)</f>
        <v>1</v>
      </c>
      <c r="AJ86" s="140">
        <f t="shared" si="84"/>
        <v>1</v>
      </c>
      <c r="AK86" s="140">
        <f t="shared" si="84"/>
        <v>1</v>
      </c>
      <c r="AL86" s="140">
        <f t="shared" si="84"/>
        <v>1</v>
      </c>
      <c r="AM86" s="140">
        <f t="shared" si="84"/>
        <v>0.99999999999999989</v>
      </c>
      <c r="AN86" s="140">
        <f t="shared" si="84"/>
        <v>1</v>
      </c>
      <c r="AO86" s="133"/>
      <c r="AP86" s="133"/>
      <c r="AQ86" s="140">
        <f t="shared" ref="AQ86:AV86" si="85">SUM(AQ80:AQ85)</f>
        <v>1</v>
      </c>
      <c r="AR86" s="140">
        <f t="shared" si="85"/>
        <v>1</v>
      </c>
      <c r="AS86" s="140">
        <f t="shared" si="85"/>
        <v>1</v>
      </c>
      <c r="AT86" s="140">
        <f t="shared" si="85"/>
        <v>1</v>
      </c>
      <c r="AU86" s="140">
        <f t="shared" si="85"/>
        <v>1</v>
      </c>
      <c r="AV86" s="140">
        <f t="shared" si="85"/>
        <v>1</v>
      </c>
      <c r="AW86" s="133"/>
      <c r="AX86" s="133"/>
      <c r="AY86" s="140">
        <f t="shared" ref="AY86:BD86" si="86">SUM(AY80:AY85)</f>
        <v>1</v>
      </c>
      <c r="AZ86" s="140">
        <f t="shared" si="86"/>
        <v>1</v>
      </c>
      <c r="BA86" s="140">
        <f t="shared" si="86"/>
        <v>1</v>
      </c>
      <c r="BB86" s="140">
        <f t="shared" si="86"/>
        <v>1</v>
      </c>
      <c r="BC86" s="140">
        <f t="shared" si="86"/>
        <v>1</v>
      </c>
      <c r="BD86" s="141">
        <f t="shared" si="86"/>
        <v>1</v>
      </c>
    </row>
    <row r="87" spans="1:56" hidden="1" outlineLevel="1" x14ac:dyDescent="0.2">
      <c r="A87" s="132"/>
      <c r="B87" s="142">
        <f t="array" ref="B87:B92">MMULT(C87:H92,$V$19:$V$24)</f>
        <v>-27.366617168173327</v>
      </c>
      <c r="C87" s="138">
        <f t="array" ref="C87:H92">MINVERSE(C80:H85)</f>
        <v>-0.32125740494388111</v>
      </c>
      <c r="D87" s="138">
        <v>-0.67462515166191506</v>
      </c>
      <c r="E87" s="138">
        <v>-0.5300624027093892</v>
      </c>
      <c r="F87" s="138">
        <v>-1.9799542798679552</v>
      </c>
      <c r="G87" s="138">
        <v>-1.5879302138361819</v>
      </c>
      <c r="H87" s="138">
        <v>1</v>
      </c>
      <c r="I87" s="133"/>
      <c r="J87" s="142">
        <f t="array" ref="J87:J92">MMULT(K87:P92,$V$19:$V$24)</f>
        <v>31.685088845698811</v>
      </c>
      <c r="K87" s="138">
        <f t="array" ref="K87:P92">MINVERSE(K80:P85)</f>
        <v>-0.32125740494388111</v>
      </c>
      <c r="L87" s="138">
        <v>-0.67462515166191506</v>
      </c>
      <c r="M87" s="138">
        <v>-1.5901872081281683</v>
      </c>
      <c r="N87" s="138">
        <v>0.17999584362435961</v>
      </c>
      <c r="O87" s="138">
        <v>0</v>
      </c>
      <c r="P87" s="138">
        <v>1</v>
      </c>
      <c r="Q87" s="133"/>
      <c r="R87" s="142">
        <f t="array" ref="R87:R92">MMULT(S87:X92,$V$19:$V$24)</f>
        <v>-30.938464644922796</v>
      </c>
      <c r="S87" s="138">
        <f t="array" ref="S87:X92">MINVERSE(S80:X85)</f>
        <v>-0.32125740494388111</v>
      </c>
      <c r="T87" s="138">
        <v>-0.67462515166191506</v>
      </c>
      <c r="U87" s="138">
        <v>0.17668746756979781</v>
      </c>
      <c r="V87" s="138">
        <v>-3.4199210288628343</v>
      </c>
      <c r="W87" s="138">
        <v>-1.3232751781968188</v>
      </c>
      <c r="X87" s="138">
        <v>1</v>
      </c>
      <c r="Y87" s="133"/>
      <c r="Z87" s="142">
        <f t="array" ref="Z87:Z92">MMULT(AA87:AF92,$V$19:$V$24)</f>
        <v>7.8211178240330312</v>
      </c>
      <c r="AA87" s="138">
        <f t="array" ref="AA87:AF92">MINVERSE(AA80:AF85)</f>
        <v>-0.32125740494388111</v>
      </c>
      <c r="AB87" s="138">
        <v>-0.67462515166191506</v>
      </c>
      <c r="AC87" s="138">
        <v>-1.5901872081281685</v>
      </c>
      <c r="AD87" s="138">
        <v>0.17999584362435916</v>
      </c>
      <c r="AE87" s="138">
        <v>-0.88218345213121252</v>
      </c>
      <c r="AF87" s="138">
        <v>1</v>
      </c>
      <c r="AG87" s="133"/>
      <c r="AH87" s="142">
        <f t="array" ref="AH87:AH92">MMULT(AI87:AN92,$V$19:$V$24)</f>
        <v>5.4065074034941105</v>
      </c>
      <c r="AI87" s="138">
        <f t="array" ref="AI87:AN92">MINVERSE(AI80:AN85)</f>
        <v>-0.32125740494388111</v>
      </c>
      <c r="AJ87" s="138">
        <v>-0.67462515166191506</v>
      </c>
      <c r="AK87" s="138">
        <v>-1.4134997405583718</v>
      </c>
      <c r="AL87" s="138">
        <v>0</v>
      </c>
      <c r="AM87" s="138">
        <v>-0.9262926247377733</v>
      </c>
      <c r="AN87" s="138">
        <v>1</v>
      </c>
      <c r="AO87" s="133"/>
      <c r="AP87" s="142">
        <f t="array" ref="AP87:AP92">MMULT(AQ87:AV92,$V$19:$V$24)</f>
        <v>5.4573050092502271</v>
      </c>
      <c r="AQ87" s="138">
        <f t="array" ref="AQ87:AV92">MINVERSE(AQ80:AV85)</f>
        <v>-0.32125740494388111</v>
      </c>
      <c r="AR87" s="138">
        <v>-0.67462515166191506</v>
      </c>
      <c r="AS87" s="138">
        <v>-4.0638117541053198</v>
      </c>
      <c r="AT87" s="138">
        <v>-1.754959475337506</v>
      </c>
      <c r="AU87" s="138">
        <v>-0.26465503563936371</v>
      </c>
      <c r="AV87" s="138">
        <v>1</v>
      </c>
      <c r="AW87" s="133"/>
      <c r="AX87" s="142">
        <f t="array" ref="AX87:AX92">MMULT(AY87:BD92,$V$19:$V$24)</f>
        <v>-8.1774845636028317</v>
      </c>
      <c r="AY87" s="138">
        <f t="array" ref="AY87:BD92">MINVERSE(AY80:BD85)</f>
        <v>-0.32125740494388111</v>
      </c>
      <c r="AZ87" s="138">
        <v>-0.67462515166191506</v>
      </c>
      <c r="BA87" s="138">
        <v>1.104296672311226</v>
      </c>
      <c r="BB87" s="138">
        <v>0</v>
      </c>
      <c r="BC87" s="138">
        <v>-1.5548483343812618</v>
      </c>
      <c r="BD87" s="139">
        <v>1</v>
      </c>
    </row>
    <row r="88" spans="1:56" hidden="1" outlineLevel="1" x14ac:dyDescent="0.2">
      <c r="A88" s="132"/>
      <c r="B88" s="142">
        <v>-17.397087263383376</v>
      </c>
      <c r="C88" s="138">
        <v>1.321257404943881</v>
      </c>
      <c r="D88" s="138">
        <v>-2.1580045036723403</v>
      </c>
      <c r="E88" s="138">
        <v>-2.1800240675680822</v>
      </c>
      <c r="F88" s="138">
        <v>-0.74028127472843619</v>
      </c>
      <c r="G88" s="138">
        <v>-0.54423247559893539</v>
      </c>
      <c r="H88" s="138">
        <v>0</v>
      </c>
      <c r="I88" s="133"/>
      <c r="J88" s="142">
        <v>23.080580926618897</v>
      </c>
      <c r="K88" s="138">
        <v>1.321257404943881</v>
      </c>
      <c r="L88" s="138">
        <v>-2.1580045036723403</v>
      </c>
      <c r="M88" s="138">
        <v>-2.9066987567574425</v>
      </c>
      <c r="N88" s="138">
        <v>0.74028127472843619</v>
      </c>
      <c r="O88" s="138">
        <v>0.54423247559893539</v>
      </c>
      <c r="P88" s="138">
        <v>0</v>
      </c>
      <c r="Q88" s="133"/>
      <c r="R88" s="142">
        <v>-2.6750382435716822</v>
      </c>
      <c r="S88" s="138">
        <v>1.321257404943881</v>
      </c>
      <c r="T88" s="138">
        <v>-2.1580045036723403</v>
      </c>
      <c r="U88" s="138">
        <v>-2.1800240675680818</v>
      </c>
      <c r="V88" s="138">
        <v>-0.74028127472843674</v>
      </c>
      <c r="W88" s="138">
        <v>-2.9337807848503616E-16</v>
      </c>
      <c r="X88" s="138">
        <v>0</v>
      </c>
      <c r="Y88" s="133"/>
      <c r="Z88" s="142">
        <v>13.265881580077764</v>
      </c>
      <c r="AA88" s="138">
        <v>1.321257404943881</v>
      </c>
      <c r="AB88" s="138">
        <v>-2.1580045036723403</v>
      </c>
      <c r="AC88" s="138">
        <v>-2.9066987567574429</v>
      </c>
      <c r="AD88" s="138">
        <v>0.74028127472843674</v>
      </c>
      <c r="AE88" s="138">
        <v>0.18141082519964508</v>
      </c>
      <c r="AF88" s="138">
        <v>0</v>
      </c>
      <c r="AG88" s="133"/>
      <c r="AH88" s="142">
        <v>3.3351473803509211</v>
      </c>
      <c r="AI88" s="138">
        <v>1.321257404943881</v>
      </c>
      <c r="AJ88" s="138">
        <v>-2.1580045036723403</v>
      </c>
      <c r="AK88" s="138">
        <v>-2.1800240675680818</v>
      </c>
      <c r="AL88" s="138">
        <v>0</v>
      </c>
      <c r="AM88" s="138">
        <v>0</v>
      </c>
      <c r="AN88" s="138">
        <v>0</v>
      </c>
      <c r="AO88" s="133"/>
      <c r="AP88" s="142">
        <v>7.8427865982928671</v>
      </c>
      <c r="AQ88" s="138">
        <v>1.321257404943881</v>
      </c>
      <c r="AR88" s="138">
        <v>-2.1580045036723403</v>
      </c>
      <c r="AS88" s="138">
        <v>-2.1800240675680822</v>
      </c>
      <c r="AT88" s="138">
        <v>0.55521095604632764</v>
      </c>
      <c r="AU88" s="138">
        <v>0</v>
      </c>
      <c r="AV88" s="138">
        <v>0</v>
      </c>
      <c r="AW88" s="133"/>
      <c r="AX88" s="142">
        <v>12.156381675910476</v>
      </c>
      <c r="AY88" s="138">
        <v>1.321257404943881</v>
      </c>
      <c r="AZ88" s="138">
        <v>-2.1580045036723403</v>
      </c>
      <c r="BA88" s="138">
        <v>-3.8150421182441443</v>
      </c>
      <c r="BB88" s="138">
        <v>0</v>
      </c>
      <c r="BC88" s="138">
        <v>0.40817435669920143</v>
      </c>
      <c r="BD88" s="139">
        <v>0</v>
      </c>
    </row>
    <row r="89" spans="1:56" hidden="1" outlineLevel="1" x14ac:dyDescent="0.2">
      <c r="A89" s="132"/>
      <c r="B89" s="142">
        <v>23.211671140872483</v>
      </c>
      <c r="C89" s="138">
        <v>0</v>
      </c>
      <c r="D89" s="138">
        <v>3.8326296553342551</v>
      </c>
      <c r="E89" s="138">
        <v>0</v>
      </c>
      <c r="F89" s="138">
        <v>0</v>
      </c>
      <c r="G89" s="138">
        <v>0</v>
      </c>
      <c r="H89" s="138">
        <v>0</v>
      </c>
      <c r="I89" s="133"/>
      <c r="J89" s="142">
        <v>23.211671140872483</v>
      </c>
      <c r="K89" s="138">
        <v>0</v>
      </c>
      <c r="L89" s="138">
        <v>3.8326296553342551</v>
      </c>
      <c r="M89" s="138">
        <v>0</v>
      </c>
      <c r="N89" s="138">
        <v>0</v>
      </c>
      <c r="O89" s="138">
        <v>0</v>
      </c>
      <c r="P89" s="138">
        <v>0</v>
      </c>
      <c r="Q89" s="133"/>
      <c r="R89" s="142">
        <v>23.211671140872483</v>
      </c>
      <c r="S89" s="138">
        <v>0</v>
      </c>
      <c r="T89" s="138">
        <v>3.8326296553342551</v>
      </c>
      <c r="U89" s="138">
        <v>0</v>
      </c>
      <c r="V89" s="138">
        <v>0</v>
      </c>
      <c r="W89" s="138">
        <v>0</v>
      </c>
      <c r="X89" s="138">
        <v>0</v>
      </c>
      <c r="Y89" s="133"/>
      <c r="Z89" s="142">
        <v>23.211671140872483</v>
      </c>
      <c r="AA89" s="138">
        <v>0</v>
      </c>
      <c r="AB89" s="138">
        <v>3.8326296553342551</v>
      </c>
      <c r="AC89" s="138">
        <v>0</v>
      </c>
      <c r="AD89" s="138">
        <v>0</v>
      </c>
      <c r="AE89" s="138">
        <v>0</v>
      </c>
      <c r="AF89" s="138">
        <v>0</v>
      </c>
      <c r="AG89" s="133"/>
      <c r="AH89" s="142">
        <v>23.211671140872483</v>
      </c>
      <c r="AI89" s="138">
        <v>0</v>
      </c>
      <c r="AJ89" s="138">
        <v>3.8326296553342551</v>
      </c>
      <c r="AK89" s="138">
        <v>0</v>
      </c>
      <c r="AL89" s="138">
        <v>0</v>
      </c>
      <c r="AM89" s="138">
        <v>0</v>
      </c>
      <c r="AN89" s="138">
        <v>0</v>
      </c>
      <c r="AO89" s="133"/>
      <c r="AP89" s="142">
        <v>4.5319476602481039</v>
      </c>
      <c r="AQ89" s="138">
        <v>0</v>
      </c>
      <c r="AR89" s="138">
        <v>3.8326296553342551</v>
      </c>
      <c r="AS89" s="138">
        <v>0</v>
      </c>
      <c r="AT89" s="138">
        <v>-2.3008024003069325</v>
      </c>
      <c r="AU89" s="138">
        <v>0</v>
      </c>
      <c r="AV89" s="138">
        <v>0</v>
      </c>
      <c r="AW89" s="133"/>
      <c r="AX89" s="142">
        <v>-13.343654037544447</v>
      </c>
      <c r="AY89" s="138">
        <v>0</v>
      </c>
      <c r="AZ89" s="138">
        <v>3.8326296553342551</v>
      </c>
      <c r="BA89" s="138">
        <v>6.7755389452846995</v>
      </c>
      <c r="BB89" s="138">
        <v>0</v>
      </c>
      <c r="BC89" s="138">
        <v>-1.6914805614154673</v>
      </c>
      <c r="BD89" s="139">
        <v>0</v>
      </c>
    </row>
    <row r="90" spans="1:56" hidden="1" outlineLevel="1" x14ac:dyDescent="0.2">
      <c r="A90" s="132"/>
      <c r="B90" s="142">
        <v>-206.66145571636207</v>
      </c>
      <c r="C90" s="138">
        <v>0</v>
      </c>
      <c r="D90" s="138">
        <v>0</v>
      </c>
      <c r="E90" s="138">
        <v>3.7100864702774721</v>
      </c>
      <c r="F90" s="138">
        <v>-7.5591116146720081</v>
      </c>
      <c r="G90" s="138">
        <v>-5.5572309712828414</v>
      </c>
      <c r="H90" s="138">
        <v>0</v>
      </c>
      <c r="I90" s="133"/>
      <c r="J90" s="142">
        <v>340.08885595071598</v>
      </c>
      <c r="K90" s="138">
        <v>0</v>
      </c>
      <c r="L90" s="138">
        <v>0</v>
      </c>
      <c r="M90" s="138">
        <v>-6.1054397336996891</v>
      </c>
      <c r="N90" s="138">
        <v>12.439521497254393</v>
      </c>
      <c r="O90" s="138">
        <v>9.1451611851190204</v>
      </c>
      <c r="P90" s="138">
        <v>0</v>
      </c>
      <c r="Q90" s="133"/>
      <c r="R90" s="142">
        <v>-200.9007470556096</v>
      </c>
      <c r="S90" s="138">
        <v>0</v>
      </c>
      <c r="T90" s="138">
        <v>0</v>
      </c>
      <c r="U90" s="138">
        <v>9.1581596005495349</v>
      </c>
      <c r="V90" s="138">
        <v>-18.659282245881595</v>
      </c>
      <c r="W90" s="138">
        <v>-2.2862902962797547</v>
      </c>
      <c r="X90" s="138">
        <v>0</v>
      </c>
      <c r="Y90" s="133"/>
      <c r="Z90" s="142">
        <v>-151.31032285739786</v>
      </c>
      <c r="AA90" s="138">
        <v>0</v>
      </c>
      <c r="AB90" s="138">
        <v>0</v>
      </c>
      <c r="AC90" s="138">
        <v>11.072029481623407</v>
      </c>
      <c r="AD90" s="138">
        <v>-11.279347169268398</v>
      </c>
      <c r="AE90" s="138">
        <v>-2.7640786651545155</v>
      </c>
      <c r="AF90" s="138">
        <v>0</v>
      </c>
      <c r="AG90" s="133"/>
      <c r="AH90" s="142">
        <v>83.128995932105909</v>
      </c>
      <c r="AI90" s="138">
        <v>0</v>
      </c>
      <c r="AJ90" s="138">
        <v>0</v>
      </c>
      <c r="AK90" s="138">
        <v>0</v>
      </c>
      <c r="AL90" s="138">
        <v>0</v>
      </c>
      <c r="AM90" s="138">
        <v>3.07304364965105</v>
      </c>
      <c r="AN90" s="138">
        <v>0</v>
      </c>
      <c r="AO90" s="133"/>
      <c r="AP90" s="142">
        <v>16.716107446731879</v>
      </c>
      <c r="AQ90" s="138">
        <v>0</v>
      </c>
      <c r="AR90" s="138">
        <v>0</v>
      </c>
      <c r="AS90" s="138">
        <v>12.3096460011025</v>
      </c>
      <c r="AT90" s="138">
        <v>0</v>
      </c>
      <c r="AU90" s="138">
        <v>0</v>
      </c>
      <c r="AV90" s="138">
        <v>0</v>
      </c>
      <c r="AW90" s="133"/>
      <c r="AX90" s="142">
        <v>16.716107446731879</v>
      </c>
      <c r="AY90" s="138">
        <v>0</v>
      </c>
      <c r="AZ90" s="138">
        <v>0</v>
      </c>
      <c r="BA90" s="138">
        <v>12.3096460011025</v>
      </c>
      <c r="BB90" s="138">
        <v>0</v>
      </c>
      <c r="BC90" s="138">
        <v>0</v>
      </c>
      <c r="BD90" s="139">
        <v>0</v>
      </c>
    </row>
    <row r="91" spans="1:56" hidden="1" outlineLevel="1" x14ac:dyDescent="0.2">
      <c r="A91" s="132"/>
      <c r="B91" s="142">
        <v>91.574611594541878</v>
      </c>
      <c r="C91" s="138">
        <v>0</v>
      </c>
      <c r="D91" s="138">
        <v>0</v>
      </c>
      <c r="E91" s="138">
        <v>0</v>
      </c>
      <c r="F91" s="138">
        <v>11.279347169268398</v>
      </c>
      <c r="G91" s="138">
        <v>0</v>
      </c>
      <c r="H91" s="138">
        <v>0</v>
      </c>
      <c r="I91" s="133"/>
      <c r="J91" s="142">
        <v>-411.22263734633634</v>
      </c>
      <c r="K91" s="138">
        <v>0</v>
      </c>
      <c r="L91" s="138">
        <v>0</v>
      </c>
      <c r="M91" s="138">
        <v>11.602325698585298</v>
      </c>
      <c r="N91" s="138">
        <v>-23.639145784875584</v>
      </c>
      <c r="O91" s="138">
        <v>-8.689393660717954</v>
      </c>
      <c r="P91" s="138">
        <v>0</v>
      </c>
      <c r="Q91" s="133"/>
      <c r="R91" s="142">
        <v>218.14613832080136</v>
      </c>
      <c r="S91" s="138">
        <v>0</v>
      </c>
      <c r="T91" s="138">
        <v>0</v>
      </c>
      <c r="U91" s="138">
        <v>-6.1548230005512501</v>
      </c>
      <c r="V91" s="138">
        <v>12.540137380204467</v>
      </c>
      <c r="W91" s="138">
        <v>4.6095654744765744</v>
      </c>
      <c r="X91" s="138">
        <v>0</v>
      </c>
      <c r="Y91" s="133"/>
      <c r="Z91" s="142">
        <v>83.128995932105909</v>
      </c>
      <c r="AA91" s="138">
        <v>0</v>
      </c>
      <c r="AB91" s="138">
        <v>0</v>
      </c>
      <c r="AC91" s="138">
        <v>0</v>
      </c>
      <c r="AD91" s="138">
        <v>0</v>
      </c>
      <c r="AE91" s="138">
        <v>3.07304364965105</v>
      </c>
      <c r="AF91" s="138">
        <v>0</v>
      </c>
      <c r="AG91" s="133"/>
      <c r="AH91" s="142">
        <v>-30.078962842140314</v>
      </c>
      <c r="AI91" s="138">
        <v>0</v>
      </c>
      <c r="AJ91" s="138">
        <v>0</v>
      </c>
      <c r="AK91" s="138">
        <v>5.5751435167377954</v>
      </c>
      <c r="AL91" s="138">
        <v>0</v>
      </c>
      <c r="AM91" s="138">
        <v>-1.3918076424350334</v>
      </c>
      <c r="AN91" s="138">
        <v>0</v>
      </c>
      <c r="AO91" s="133"/>
      <c r="AP91" s="142">
        <v>13.364900678065922</v>
      </c>
      <c r="AQ91" s="138">
        <v>0</v>
      </c>
      <c r="AR91" s="138">
        <v>0</v>
      </c>
      <c r="AS91" s="138">
        <v>-5.0658101794290973</v>
      </c>
      <c r="AT91" s="138">
        <v>-1.7202215667937562</v>
      </c>
      <c r="AU91" s="138">
        <v>1.2646550356393638</v>
      </c>
      <c r="AV91" s="138">
        <v>0</v>
      </c>
      <c r="AW91" s="133"/>
      <c r="AX91" s="142">
        <v>98.836110858832498</v>
      </c>
      <c r="AY91" s="138">
        <v>0</v>
      </c>
      <c r="AZ91" s="138">
        <v>0</v>
      </c>
      <c r="BA91" s="138">
        <v>-18.319298626288305</v>
      </c>
      <c r="BB91" s="138">
        <v>0</v>
      </c>
      <c r="BC91" s="138">
        <v>4.5733243916627977</v>
      </c>
      <c r="BD91" s="139">
        <v>0</v>
      </c>
    </row>
    <row r="92" spans="1:56" hidden="1" outlineLevel="1" x14ac:dyDescent="0.2">
      <c r="A92" s="132"/>
      <c r="B92" s="142">
        <v>235.05704852461599</v>
      </c>
      <c r="C92" s="138">
        <v>0</v>
      </c>
      <c r="D92" s="138">
        <v>0</v>
      </c>
      <c r="E92" s="138">
        <v>0</v>
      </c>
      <c r="F92" s="138">
        <v>0</v>
      </c>
      <c r="G92" s="138">
        <v>8.6893936607179576</v>
      </c>
      <c r="H92" s="138">
        <v>0</v>
      </c>
      <c r="I92" s="133"/>
      <c r="J92" s="142">
        <v>91.574611594541878</v>
      </c>
      <c r="K92" s="138">
        <v>0</v>
      </c>
      <c r="L92" s="138">
        <v>0</v>
      </c>
      <c r="M92" s="138">
        <v>0</v>
      </c>
      <c r="N92" s="138">
        <v>11.279347169268398</v>
      </c>
      <c r="O92" s="138">
        <v>0</v>
      </c>
      <c r="P92" s="138">
        <v>0</v>
      </c>
      <c r="Q92" s="133"/>
      <c r="R92" s="142">
        <v>91.574611594541878</v>
      </c>
      <c r="S92" s="138">
        <v>0</v>
      </c>
      <c r="T92" s="138">
        <v>0</v>
      </c>
      <c r="U92" s="138">
        <v>0</v>
      </c>
      <c r="V92" s="138">
        <v>11.279347169268398</v>
      </c>
      <c r="W92" s="138">
        <v>0</v>
      </c>
      <c r="X92" s="138">
        <v>0</v>
      </c>
      <c r="Y92" s="133"/>
      <c r="Z92" s="142">
        <v>122.30082749242034</v>
      </c>
      <c r="AA92" s="138">
        <v>0</v>
      </c>
      <c r="AB92" s="138">
        <v>0</v>
      </c>
      <c r="AC92" s="138">
        <v>-5.5751435167377954</v>
      </c>
      <c r="AD92" s="138">
        <v>11.359070050915603</v>
      </c>
      <c r="AE92" s="138">
        <v>1.3918076424350334</v>
      </c>
      <c r="AF92" s="138">
        <v>0</v>
      </c>
      <c r="AG92" s="133"/>
      <c r="AH92" s="142">
        <v>13.414812097428522</v>
      </c>
      <c r="AI92" s="138">
        <v>0</v>
      </c>
      <c r="AJ92" s="138">
        <v>0</v>
      </c>
      <c r="AK92" s="138">
        <v>-0.98161970861134162</v>
      </c>
      <c r="AL92" s="138">
        <v>1</v>
      </c>
      <c r="AM92" s="138">
        <v>0.24505661752175673</v>
      </c>
      <c r="AN92" s="138">
        <v>0</v>
      </c>
      <c r="AO92" s="133"/>
      <c r="AP92" s="142">
        <v>50.505123719522622</v>
      </c>
      <c r="AQ92" s="138">
        <v>0</v>
      </c>
      <c r="AR92" s="138">
        <v>0</v>
      </c>
      <c r="AS92" s="138">
        <v>0</v>
      </c>
      <c r="AT92" s="138">
        <v>6.2207724863918665</v>
      </c>
      <c r="AU92" s="138">
        <v>0</v>
      </c>
      <c r="AV92" s="138">
        <v>0</v>
      </c>
      <c r="AW92" s="133"/>
      <c r="AX92" s="142">
        <v>-7.7692902682159541</v>
      </c>
      <c r="AY92" s="138">
        <v>0</v>
      </c>
      <c r="AZ92" s="138">
        <v>0</v>
      </c>
      <c r="BA92" s="138">
        <v>2.9448591258340251</v>
      </c>
      <c r="BB92" s="138">
        <v>1</v>
      </c>
      <c r="BC92" s="138">
        <v>-0.73516985256527023</v>
      </c>
      <c r="BD92" s="139">
        <v>0</v>
      </c>
    </row>
    <row r="93" spans="1:56" hidden="1" outlineLevel="1" x14ac:dyDescent="0.2">
      <c r="A93" s="132"/>
      <c r="B93" s="143">
        <f>SUM(B87:B92)</f>
        <v>98.418171112111565</v>
      </c>
      <c r="C93" s="133"/>
      <c r="D93" s="133"/>
      <c r="E93" s="133"/>
      <c r="F93" s="133"/>
      <c r="G93" s="133"/>
      <c r="H93" s="133"/>
      <c r="I93" s="133"/>
      <c r="J93" s="143">
        <f>SUM(J87:J92)</f>
        <v>98.418171112111693</v>
      </c>
      <c r="K93" s="133"/>
      <c r="L93" s="133"/>
      <c r="M93" s="133"/>
      <c r="N93" s="133"/>
      <c r="O93" s="133"/>
      <c r="P93" s="133"/>
      <c r="Q93" s="133"/>
      <c r="R93" s="143">
        <f>SUM(R87:R92)</f>
        <v>98.418171112111636</v>
      </c>
      <c r="S93" s="133"/>
      <c r="T93" s="133"/>
      <c r="U93" s="133"/>
      <c r="V93" s="133"/>
      <c r="W93" s="133"/>
      <c r="X93" s="133"/>
      <c r="Y93" s="133"/>
      <c r="Z93" s="143">
        <f>SUM(Z87:Z92)</f>
        <v>98.418171112111665</v>
      </c>
      <c r="AA93" s="133"/>
      <c r="AB93" s="133"/>
      <c r="AC93" s="133"/>
      <c r="AD93" s="133"/>
      <c r="AE93" s="133"/>
      <c r="AF93" s="133"/>
      <c r="AG93" s="133"/>
      <c r="AH93" s="143">
        <f>SUM(AH87:AH92)</f>
        <v>98.418171112111636</v>
      </c>
      <c r="AI93" s="133"/>
      <c r="AJ93" s="133"/>
      <c r="AK93" s="133"/>
      <c r="AL93" s="133"/>
      <c r="AM93" s="133"/>
      <c r="AN93" s="133"/>
      <c r="AO93" s="133"/>
      <c r="AP93" s="143">
        <f>SUM(AP87:AP92)</f>
        <v>98.418171112111622</v>
      </c>
      <c r="AQ93" s="133"/>
      <c r="AR93" s="133"/>
      <c r="AS93" s="133"/>
      <c r="AT93" s="133"/>
      <c r="AU93" s="133"/>
      <c r="AV93" s="133"/>
      <c r="AW93" s="133"/>
      <c r="AX93" s="143">
        <f>SUM(AX87:AX92)</f>
        <v>98.418171112111622</v>
      </c>
      <c r="AY93" s="133"/>
      <c r="AZ93" s="133"/>
      <c r="BA93" s="133"/>
      <c r="BB93" s="133"/>
      <c r="BC93" s="133"/>
      <c r="BD93" s="134"/>
    </row>
    <row r="94" spans="1:56" hidden="1" outlineLevel="1" x14ac:dyDescent="0.2">
      <c r="A94" s="132"/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L94" s="133"/>
      <c r="M94" s="133"/>
      <c r="N94" s="133"/>
      <c r="O94" s="133"/>
      <c r="P94" s="133"/>
      <c r="Q94" s="133"/>
      <c r="R94" s="133"/>
      <c r="S94" s="133"/>
      <c r="T94" s="133"/>
      <c r="U94" s="133"/>
      <c r="V94" s="133"/>
      <c r="W94" s="133"/>
      <c r="X94" s="133"/>
      <c r="Y94" s="133"/>
      <c r="Z94" s="133"/>
      <c r="AA94" s="133"/>
      <c r="AB94" s="133"/>
      <c r="AC94" s="133"/>
      <c r="AD94" s="133"/>
      <c r="AE94" s="133"/>
      <c r="AF94" s="133"/>
      <c r="AG94" s="133"/>
      <c r="AH94" s="133"/>
      <c r="AI94" s="133"/>
      <c r="AJ94" s="133"/>
      <c r="AK94" s="133"/>
      <c r="AL94" s="133"/>
      <c r="AM94" s="133"/>
      <c r="AN94" s="133"/>
      <c r="AO94" s="133"/>
      <c r="AP94" s="133"/>
      <c r="AQ94" s="133"/>
      <c r="AR94" s="133"/>
      <c r="AS94" s="133"/>
      <c r="AT94" s="133"/>
      <c r="AU94" s="133"/>
      <c r="AV94" s="133"/>
      <c r="AW94" s="133"/>
      <c r="AX94" s="133"/>
      <c r="AY94" s="133"/>
      <c r="AZ94" s="133"/>
      <c r="BA94" s="133"/>
      <c r="BB94" s="133"/>
      <c r="BC94" s="133"/>
      <c r="BD94" s="134"/>
    </row>
    <row r="95" spans="1:56" hidden="1" outlineLevel="1" x14ac:dyDescent="0.2">
      <c r="A95" s="132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L95" s="133"/>
      <c r="M95" s="133"/>
      <c r="N95" s="133"/>
      <c r="O95" s="133"/>
      <c r="P95" s="133"/>
      <c r="Q95" s="133"/>
      <c r="R95" s="133"/>
      <c r="S95" s="133"/>
      <c r="T95" s="133"/>
      <c r="U95" s="133"/>
      <c r="V95" s="133"/>
      <c r="W95" s="133"/>
      <c r="X95" s="133"/>
      <c r="Y95" s="133"/>
      <c r="Z95" s="133"/>
      <c r="AA95" s="133"/>
      <c r="AB95" s="133"/>
      <c r="AC95" s="133"/>
      <c r="AD95" s="133"/>
      <c r="AE95" s="133"/>
      <c r="AF95" s="133"/>
      <c r="AG95" s="133"/>
      <c r="AH95" s="133"/>
      <c r="AI95" s="133"/>
      <c r="AJ95" s="133"/>
      <c r="AK95" s="133"/>
      <c r="AL95" s="133"/>
      <c r="AM95" s="133"/>
      <c r="AN95" s="133"/>
      <c r="AO95" s="133"/>
      <c r="AP95" s="133"/>
      <c r="AQ95" s="133"/>
      <c r="AR95" s="133"/>
      <c r="AS95" s="133"/>
      <c r="AT95" s="133"/>
      <c r="AU95" s="133"/>
      <c r="AV95" s="133"/>
      <c r="AW95" s="133"/>
      <c r="AX95" s="133"/>
      <c r="AY95" s="133"/>
      <c r="AZ95" s="133"/>
      <c r="BA95" s="133"/>
      <c r="BB95" s="133"/>
      <c r="BC95" s="133"/>
      <c r="BD95" s="134"/>
    </row>
    <row r="96" spans="1:56" hidden="1" outlineLevel="1" x14ac:dyDescent="0.2">
      <c r="A96" s="135" t="s">
        <v>60</v>
      </c>
      <c r="B96" s="136">
        <v>21</v>
      </c>
      <c r="C96" s="136" t="s">
        <v>59</v>
      </c>
      <c r="D96" s="136" t="str">
        <f>$C$218</f>
        <v>portlandite</v>
      </c>
      <c r="E96" s="136" t="str">
        <f>$E$218</f>
        <v>C1.75A0.05SH4.3</v>
      </c>
      <c r="F96" s="136" t="str">
        <f>$M$218</f>
        <v>Hydrogarnet</v>
      </c>
      <c r="G96" s="136" t="str">
        <f>$O$218</f>
        <v>Hemicarbonate</v>
      </c>
      <c r="H96" s="136" t="str">
        <f>$Q$218</f>
        <v>Hemisulphate</v>
      </c>
      <c r="I96" s="133"/>
      <c r="J96" s="136">
        <v>22</v>
      </c>
      <c r="K96" s="136" t="s">
        <v>59</v>
      </c>
      <c r="L96" s="136" t="str">
        <f>$C$218</f>
        <v>portlandite</v>
      </c>
      <c r="M96" s="136" t="str">
        <f>$E$218</f>
        <v>C1.75A0.05SH4.3</v>
      </c>
      <c r="N96" s="136" t="str">
        <f>$R$218</f>
        <v>monosulphate</v>
      </c>
      <c r="O96" s="136" t="str">
        <f>$Q$218</f>
        <v>Hemisulphate</v>
      </c>
      <c r="P96" s="136" t="str">
        <f>$O$218</f>
        <v>Hemicarbonate</v>
      </c>
      <c r="Q96" s="133"/>
      <c r="R96" s="136">
        <v>23</v>
      </c>
      <c r="S96" s="136" t="s">
        <v>59</v>
      </c>
      <c r="T96" s="136" t="str">
        <f>$C$218</f>
        <v>portlandite</v>
      </c>
      <c r="U96" s="136" t="str">
        <f>$E$218</f>
        <v>C1.75A0.05SH4.3</v>
      </c>
      <c r="V96" s="136" t="str">
        <f>$R$218</f>
        <v>monosulphate</v>
      </c>
      <c r="W96" s="136" t="str">
        <f>$S$218</f>
        <v>ettringite</v>
      </c>
      <c r="X96" s="136" t="str">
        <f>$O$218</f>
        <v>Hemicarbonate</v>
      </c>
      <c r="Y96" s="133"/>
      <c r="Z96" s="136">
        <v>24</v>
      </c>
      <c r="AA96" s="136" t="s">
        <v>59</v>
      </c>
      <c r="AB96" s="136" t="str">
        <f>$C$218</f>
        <v>portlandite</v>
      </c>
      <c r="AC96" s="136" t="str">
        <f>$E$218</f>
        <v>C1.75A0.05SH4.3</v>
      </c>
      <c r="AD96" s="136" t="str">
        <f>$O$218</f>
        <v>Hemicarbonate</v>
      </c>
      <c r="AE96" s="136" t="str">
        <f>$S$218</f>
        <v>ettringite</v>
      </c>
      <c r="AF96" s="136" t="str">
        <f>$P$218</f>
        <v>monocarbonate</v>
      </c>
      <c r="AG96" s="133"/>
      <c r="AH96" s="136">
        <v>25</v>
      </c>
      <c r="AI96" s="136" t="s">
        <v>59</v>
      </c>
      <c r="AJ96" s="136" t="str">
        <f>$C$218</f>
        <v>portlandite</v>
      </c>
      <c r="AK96" s="136" t="str">
        <f>$E$218</f>
        <v>C1.75A0.05SH4.3</v>
      </c>
      <c r="AL96" s="136" t="str">
        <f>$S$218</f>
        <v>ettringite</v>
      </c>
      <c r="AM96" s="136" t="str">
        <f>$P$218</f>
        <v>monocarbonate</v>
      </c>
      <c r="AN96" s="136" t="str">
        <f>$U$218</f>
        <v>calcite</v>
      </c>
      <c r="AO96" s="133"/>
      <c r="AP96" s="136">
        <v>26</v>
      </c>
      <c r="AQ96" s="136" t="s">
        <v>59</v>
      </c>
      <c r="AR96" s="136" t="str">
        <f>$C$218</f>
        <v>portlandite</v>
      </c>
      <c r="AS96" s="136" t="str">
        <f>$U$218</f>
        <v>calcite</v>
      </c>
      <c r="AT96" s="136" t="str">
        <f>$S$218</f>
        <v>ettringite</v>
      </c>
      <c r="AU96" s="136" t="str">
        <f>$T$218</f>
        <v>gypsum</v>
      </c>
      <c r="AV96" s="136" t="str">
        <f>$V$218</f>
        <v>thaumasite</v>
      </c>
      <c r="AW96" s="133"/>
      <c r="AX96" s="136">
        <v>27</v>
      </c>
      <c r="AY96" s="136" t="s">
        <v>59</v>
      </c>
      <c r="AZ96" s="136" t="str">
        <f>$C$218</f>
        <v>portlandite</v>
      </c>
      <c r="BA96" s="136" t="str">
        <f>$E$218</f>
        <v>C1.75A0.05SH4.3</v>
      </c>
      <c r="BB96" s="136" t="str">
        <f>$S$218</f>
        <v>ettringite</v>
      </c>
      <c r="BC96" s="136" t="str">
        <f>$V$218</f>
        <v>thaumasite</v>
      </c>
      <c r="BD96" s="137" t="str">
        <f>$U$218</f>
        <v>calcite</v>
      </c>
    </row>
    <row r="97" spans="1:56" hidden="1" outlineLevel="1" x14ac:dyDescent="0.2">
      <c r="A97" s="132"/>
      <c r="B97" s="133"/>
      <c r="C97" s="138">
        <v>0</v>
      </c>
      <c r="D97" s="138">
        <f>$C$219</f>
        <v>0.75685479321304083</v>
      </c>
      <c r="E97" s="138">
        <f>$E$219</f>
        <v>0.41692537379616368</v>
      </c>
      <c r="F97" s="138">
        <f>$M$219</f>
        <v>0.44472323706657291</v>
      </c>
      <c r="G97" s="138">
        <f>$O$219</f>
        <v>0.34771498375494458</v>
      </c>
      <c r="H97" s="138">
        <f>$Q$219</f>
        <v>0.33182231315971239</v>
      </c>
      <c r="I97" s="133"/>
      <c r="J97" s="133"/>
      <c r="K97" s="138">
        <v>0</v>
      </c>
      <c r="L97" s="138">
        <f>$C$219</f>
        <v>0.75685479321304083</v>
      </c>
      <c r="M97" s="138">
        <f>$E$219</f>
        <v>0.41692537379616368</v>
      </c>
      <c r="N97" s="138">
        <f>$R$219</f>
        <v>0.27024452567298896</v>
      </c>
      <c r="O97" s="138">
        <f>$Q$219</f>
        <v>0.33182231315971239</v>
      </c>
      <c r="P97" s="138">
        <f>$O$219</f>
        <v>0.34771498375494458</v>
      </c>
      <c r="Q97" s="133"/>
      <c r="R97" s="133"/>
      <c r="S97" s="138">
        <v>0</v>
      </c>
      <c r="T97" s="138">
        <f>$C$219</f>
        <v>0.75685479321304083</v>
      </c>
      <c r="U97" s="138">
        <f>$E$219</f>
        <v>0.41692537379616368</v>
      </c>
      <c r="V97" s="138">
        <f>$R$219</f>
        <v>0.27024452567298896</v>
      </c>
      <c r="W97" s="138">
        <f>$S$219</f>
        <v>0.13403810838353239</v>
      </c>
      <c r="X97" s="138">
        <f>$O$219</f>
        <v>0.34771498375494458</v>
      </c>
      <c r="Y97" s="133"/>
      <c r="Z97" s="133"/>
      <c r="AA97" s="138">
        <v>0</v>
      </c>
      <c r="AB97" s="138">
        <f>$C$219</f>
        <v>0.75685479321304083</v>
      </c>
      <c r="AC97" s="138">
        <f>$E$219</f>
        <v>0.41692537379616368</v>
      </c>
      <c r="AD97" s="138">
        <f>$O$219</f>
        <v>0.34771498375494458</v>
      </c>
      <c r="AE97" s="138">
        <f>$S$219</f>
        <v>0.13403810838353239</v>
      </c>
      <c r="AF97" s="138">
        <f>$P$219</f>
        <v>0.29594963069652797</v>
      </c>
      <c r="AG97" s="133"/>
      <c r="AH97" s="133"/>
      <c r="AI97" s="138">
        <v>0</v>
      </c>
      <c r="AJ97" s="138">
        <f>$C$219</f>
        <v>0.75685479321304083</v>
      </c>
      <c r="AK97" s="138">
        <f>$E$219</f>
        <v>0.41692537379616368</v>
      </c>
      <c r="AL97" s="138">
        <f>$S$219</f>
        <v>0.13403810838353239</v>
      </c>
      <c r="AM97" s="138">
        <f>$P$219</f>
        <v>0.29594963069652797</v>
      </c>
      <c r="AN97" s="138">
        <f>$U$219</f>
        <v>0</v>
      </c>
      <c r="AO97" s="133"/>
      <c r="AP97" s="133"/>
      <c r="AQ97" s="138">
        <v>0</v>
      </c>
      <c r="AR97" s="138">
        <f>$C$219</f>
        <v>0.75685479321304083</v>
      </c>
      <c r="AS97" s="138">
        <f>$U$219</f>
        <v>0</v>
      </c>
      <c r="AT97" s="138">
        <f>$S$219</f>
        <v>0.13403810838353239</v>
      </c>
      <c r="AU97" s="138">
        <f>$T$219</f>
        <v>0</v>
      </c>
      <c r="AV97" s="138">
        <f>$V$219</f>
        <v>9.0066857826695823E-2</v>
      </c>
      <c r="AW97" s="133"/>
      <c r="AX97" s="133"/>
      <c r="AY97" s="138">
        <v>0</v>
      </c>
      <c r="AZ97" s="138">
        <f>$C$219</f>
        <v>0.75685479321304083</v>
      </c>
      <c r="BA97" s="138">
        <f>$E$219</f>
        <v>0.41692537379616368</v>
      </c>
      <c r="BB97" s="138">
        <f>$S$219</f>
        <v>0.13403810838353239</v>
      </c>
      <c r="BC97" s="138">
        <f>$V$219</f>
        <v>9.0066857826695823E-2</v>
      </c>
      <c r="BD97" s="139">
        <f>$U$219</f>
        <v>0</v>
      </c>
    </row>
    <row r="98" spans="1:56" hidden="1" outlineLevel="1" x14ac:dyDescent="0.2">
      <c r="A98" s="132"/>
      <c r="B98" s="133"/>
      <c r="C98" s="138">
        <v>0</v>
      </c>
      <c r="D98" s="138">
        <f>$C$220</f>
        <v>0</v>
      </c>
      <c r="E98" s="138">
        <f>$E$220</f>
        <v>0.25526625940759262</v>
      </c>
      <c r="F98" s="138">
        <f>$M$220</f>
        <v>0</v>
      </c>
      <c r="G98" s="138">
        <f>$O$220</f>
        <v>0</v>
      </c>
      <c r="H98" s="138">
        <f>$Q$220</f>
        <v>0</v>
      </c>
      <c r="I98" s="133"/>
      <c r="J98" s="133"/>
      <c r="K98" s="138">
        <v>0</v>
      </c>
      <c r="L98" s="138">
        <f>$C$220</f>
        <v>0</v>
      </c>
      <c r="M98" s="138">
        <f>$E$220</f>
        <v>0.25526625940759262</v>
      </c>
      <c r="N98" s="138">
        <f>$R$220</f>
        <v>0</v>
      </c>
      <c r="O98" s="138">
        <f>$Q$220</f>
        <v>0</v>
      </c>
      <c r="P98" s="138">
        <f>$O$220</f>
        <v>0</v>
      </c>
      <c r="Q98" s="133"/>
      <c r="R98" s="133"/>
      <c r="S98" s="138">
        <v>0</v>
      </c>
      <c r="T98" s="138">
        <f>$C$220</f>
        <v>0</v>
      </c>
      <c r="U98" s="138">
        <f>$E$220</f>
        <v>0.25526625940759262</v>
      </c>
      <c r="V98" s="138">
        <f>$R$220</f>
        <v>0</v>
      </c>
      <c r="W98" s="138">
        <f>$S$220</f>
        <v>0</v>
      </c>
      <c r="X98" s="138">
        <f>$O$220</f>
        <v>0</v>
      </c>
      <c r="Y98" s="133"/>
      <c r="Z98" s="133"/>
      <c r="AA98" s="138">
        <v>0</v>
      </c>
      <c r="AB98" s="138">
        <f>$C$220</f>
        <v>0</v>
      </c>
      <c r="AC98" s="138">
        <f>$E$220</f>
        <v>0.25526625940759262</v>
      </c>
      <c r="AD98" s="138">
        <f>$O$220</f>
        <v>0</v>
      </c>
      <c r="AE98" s="138">
        <f>$S$220</f>
        <v>0</v>
      </c>
      <c r="AF98" s="138">
        <f>$P$220</f>
        <v>0</v>
      </c>
      <c r="AG98" s="133"/>
      <c r="AH98" s="133"/>
      <c r="AI98" s="138">
        <v>0</v>
      </c>
      <c r="AJ98" s="138">
        <f>$C$220</f>
        <v>0</v>
      </c>
      <c r="AK98" s="138">
        <f>$E$220</f>
        <v>0.25526625940759262</v>
      </c>
      <c r="AL98" s="138">
        <f>$S$220</f>
        <v>0</v>
      </c>
      <c r="AM98" s="138">
        <f>$P$220</f>
        <v>0</v>
      </c>
      <c r="AN98" s="138">
        <f>$U$220</f>
        <v>0</v>
      </c>
      <c r="AO98" s="133"/>
      <c r="AP98" s="133"/>
      <c r="AQ98" s="138">
        <v>0</v>
      </c>
      <c r="AR98" s="138">
        <f>$C$220</f>
        <v>0</v>
      </c>
      <c r="AS98" s="138">
        <f>$U$220</f>
        <v>0</v>
      </c>
      <c r="AT98" s="138">
        <f>$S$220</f>
        <v>0</v>
      </c>
      <c r="AU98" s="138">
        <f>$T$220</f>
        <v>0</v>
      </c>
      <c r="AV98" s="138">
        <f>$V$220</f>
        <v>9.6502407488873232E-2</v>
      </c>
      <c r="AW98" s="133"/>
      <c r="AX98" s="133"/>
      <c r="AY98" s="138">
        <v>0</v>
      </c>
      <c r="AZ98" s="138">
        <f>$C$220</f>
        <v>0</v>
      </c>
      <c r="BA98" s="138">
        <f>$E$220</f>
        <v>0.25526625940759262</v>
      </c>
      <c r="BB98" s="138">
        <f>$S$220</f>
        <v>0</v>
      </c>
      <c r="BC98" s="138">
        <f>$V$220</f>
        <v>9.6502407488873232E-2</v>
      </c>
      <c r="BD98" s="139">
        <f>$U$220</f>
        <v>0</v>
      </c>
    </row>
    <row r="99" spans="1:56" hidden="1" outlineLevel="1" x14ac:dyDescent="0.2">
      <c r="A99" s="132"/>
      <c r="B99" s="133"/>
      <c r="C99" s="138">
        <v>0</v>
      </c>
      <c r="D99" s="138">
        <f>$C$221</f>
        <v>0</v>
      </c>
      <c r="E99" s="138">
        <f>$E$221</f>
        <v>2.1658964188213614E-2</v>
      </c>
      <c r="F99" s="138">
        <f>$M$221</f>
        <v>0.26953549681692768</v>
      </c>
      <c r="G99" s="138">
        <f>$O$221</f>
        <v>0.18063535716911364</v>
      </c>
      <c r="H99" s="138">
        <f>$Q$221</f>
        <v>0.17237923257436782</v>
      </c>
      <c r="I99" s="133"/>
      <c r="J99" s="133"/>
      <c r="K99" s="138">
        <v>0</v>
      </c>
      <c r="L99" s="138">
        <f>$C$221</f>
        <v>0</v>
      </c>
      <c r="M99" s="138">
        <f>$E$221</f>
        <v>2.1658964188213614E-2</v>
      </c>
      <c r="N99" s="138">
        <f>$R$221</f>
        <v>0.16378836637767183</v>
      </c>
      <c r="O99" s="138">
        <f>$Q$221</f>
        <v>0.17237923257436782</v>
      </c>
      <c r="P99" s="138">
        <f>$O$221</f>
        <v>0.18063535716911364</v>
      </c>
      <c r="Q99" s="133"/>
      <c r="R99" s="133"/>
      <c r="S99" s="138">
        <v>0</v>
      </c>
      <c r="T99" s="138">
        <f>$C$221</f>
        <v>0</v>
      </c>
      <c r="U99" s="138">
        <f>$E$221</f>
        <v>2.1658964188213614E-2</v>
      </c>
      <c r="V99" s="138">
        <f>$R$221</f>
        <v>0.16378836637767183</v>
      </c>
      <c r="W99" s="138">
        <f>$S$221</f>
        <v>8.1237104617828668E-2</v>
      </c>
      <c r="X99" s="138">
        <f>$O$221</f>
        <v>0.18063535716911364</v>
      </c>
      <c r="Y99" s="133"/>
      <c r="Z99" s="133"/>
      <c r="AA99" s="138">
        <v>0</v>
      </c>
      <c r="AB99" s="138">
        <f>$C$221</f>
        <v>0</v>
      </c>
      <c r="AC99" s="138">
        <f>$E$221</f>
        <v>2.1658964188213614E-2</v>
      </c>
      <c r="AD99" s="138">
        <f>$O$221</f>
        <v>0.18063535716911364</v>
      </c>
      <c r="AE99" s="138">
        <f>$S$221</f>
        <v>8.1237104617828668E-2</v>
      </c>
      <c r="AF99" s="138">
        <f>$P$221</f>
        <v>0.17936757986548366</v>
      </c>
      <c r="AG99" s="133"/>
      <c r="AH99" s="133"/>
      <c r="AI99" s="138">
        <v>0</v>
      </c>
      <c r="AJ99" s="138">
        <f>$C$221</f>
        <v>0</v>
      </c>
      <c r="AK99" s="138">
        <f>$E$221</f>
        <v>2.1658964188213614E-2</v>
      </c>
      <c r="AL99" s="138">
        <f>$S$221</f>
        <v>8.1237104617828668E-2</v>
      </c>
      <c r="AM99" s="138">
        <f>$P$221</f>
        <v>0.17936757986548366</v>
      </c>
      <c r="AN99" s="138">
        <f>$U$221</f>
        <v>0</v>
      </c>
      <c r="AO99" s="133"/>
      <c r="AP99" s="133"/>
      <c r="AQ99" s="138">
        <v>0</v>
      </c>
      <c r="AR99" s="138">
        <f>$C$221</f>
        <v>0</v>
      </c>
      <c r="AS99" s="138">
        <f>$U$221</f>
        <v>0</v>
      </c>
      <c r="AT99" s="138">
        <f>$S$221</f>
        <v>8.1237104617828668E-2</v>
      </c>
      <c r="AU99" s="138">
        <f>$T$221</f>
        <v>0</v>
      </c>
      <c r="AV99" s="138">
        <f>$V$221</f>
        <v>0</v>
      </c>
      <c r="AW99" s="133"/>
      <c r="AX99" s="133"/>
      <c r="AY99" s="138">
        <v>0</v>
      </c>
      <c r="AZ99" s="138">
        <f>$C$221</f>
        <v>0</v>
      </c>
      <c r="BA99" s="138">
        <f>$E$221</f>
        <v>2.1658964188213614E-2</v>
      </c>
      <c r="BB99" s="138">
        <f>$S$221</f>
        <v>8.1237104617828668E-2</v>
      </c>
      <c r="BC99" s="138">
        <f>$V$221</f>
        <v>0</v>
      </c>
      <c r="BD99" s="139">
        <f>$U$221</f>
        <v>0</v>
      </c>
    </row>
    <row r="100" spans="1:56" hidden="1" outlineLevel="1" x14ac:dyDescent="0.2">
      <c r="A100" s="132"/>
      <c r="B100" s="133"/>
      <c r="C100" s="138">
        <v>0</v>
      </c>
      <c r="D100" s="138">
        <f>$C$222</f>
        <v>0</v>
      </c>
      <c r="E100" s="138">
        <f>$E$222</f>
        <v>0</v>
      </c>
      <c r="F100" s="138">
        <f>$M$222</f>
        <v>0</v>
      </c>
      <c r="G100" s="138">
        <f>$O$222</f>
        <v>8.8657613334625476E-2</v>
      </c>
      <c r="H100" s="138">
        <f>$Q$222</f>
        <v>0</v>
      </c>
      <c r="I100" s="133"/>
      <c r="J100" s="133"/>
      <c r="K100" s="138">
        <v>0</v>
      </c>
      <c r="L100" s="138">
        <f>$C$222</f>
        <v>0</v>
      </c>
      <c r="M100" s="138">
        <f>$E$222</f>
        <v>0</v>
      </c>
      <c r="N100" s="138">
        <f>$R$222</f>
        <v>0</v>
      </c>
      <c r="O100" s="138">
        <f>$Q$222</f>
        <v>0</v>
      </c>
      <c r="P100" s="138">
        <f>$O$222</f>
        <v>8.8657613334625476E-2</v>
      </c>
      <c r="Q100" s="133"/>
      <c r="R100" s="133"/>
      <c r="S100" s="138">
        <v>0</v>
      </c>
      <c r="T100" s="138">
        <f>$C$222</f>
        <v>0</v>
      </c>
      <c r="U100" s="138">
        <f>$E$222</f>
        <v>0</v>
      </c>
      <c r="V100" s="138">
        <f>$R$222</f>
        <v>0</v>
      </c>
      <c r="W100" s="138">
        <f>$S$222</f>
        <v>0</v>
      </c>
      <c r="X100" s="138">
        <f>$O$222</f>
        <v>8.8657613334625476E-2</v>
      </c>
      <c r="Y100" s="133"/>
      <c r="Z100" s="133"/>
      <c r="AA100" s="138">
        <v>0</v>
      </c>
      <c r="AB100" s="138">
        <f>$C$222</f>
        <v>0</v>
      </c>
      <c r="AC100" s="138">
        <f>$E$222</f>
        <v>0</v>
      </c>
      <c r="AD100" s="138">
        <f>$O$222</f>
        <v>8.8657613334625476E-2</v>
      </c>
      <c r="AE100" s="138">
        <f>$S$222</f>
        <v>0</v>
      </c>
      <c r="AF100" s="138">
        <f>$P$222</f>
        <v>0.17607075148187762</v>
      </c>
      <c r="AG100" s="133"/>
      <c r="AH100" s="133"/>
      <c r="AI100" s="138">
        <v>0</v>
      </c>
      <c r="AJ100" s="138">
        <f>$C$222</f>
        <v>0</v>
      </c>
      <c r="AK100" s="138">
        <f>$E$222</f>
        <v>0</v>
      </c>
      <c r="AL100" s="138">
        <f>$S$222</f>
        <v>0</v>
      </c>
      <c r="AM100" s="138">
        <f>$P$222</f>
        <v>0.17607075148187762</v>
      </c>
      <c r="AN100" s="138">
        <f>$U$222</f>
        <v>1</v>
      </c>
      <c r="AO100" s="133"/>
      <c r="AP100" s="133"/>
      <c r="AQ100" s="138">
        <v>0</v>
      </c>
      <c r="AR100" s="138">
        <f>$C$222</f>
        <v>0</v>
      </c>
      <c r="AS100" s="138">
        <f>$U$222</f>
        <v>1</v>
      </c>
      <c r="AT100" s="138">
        <f>$S$222</f>
        <v>0</v>
      </c>
      <c r="AU100" s="138">
        <f>$T$222</f>
        <v>0</v>
      </c>
      <c r="AV100" s="138">
        <f>$V$222</f>
        <v>0.16075173978593996</v>
      </c>
      <c r="AW100" s="133"/>
      <c r="AX100" s="133"/>
      <c r="AY100" s="138">
        <v>0</v>
      </c>
      <c r="AZ100" s="138">
        <f>$C$222</f>
        <v>0</v>
      </c>
      <c r="BA100" s="138">
        <f>$E$222</f>
        <v>0</v>
      </c>
      <c r="BB100" s="138">
        <f>$S$222</f>
        <v>0</v>
      </c>
      <c r="BC100" s="138">
        <f>$V$222</f>
        <v>0.16075173978593996</v>
      </c>
      <c r="BD100" s="139">
        <f>$U$222</f>
        <v>1</v>
      </c>
    </row>
    <row r="101" spans="1:56" hidden="1" outlineLevel="1" x14ac:dyDescent="0.2">
      <c r="A101" s="132"/>
      <c r="B101" s="133"/>
      <c r="C101" s="138">
        <v>0</v>
      </c>
      <c r="D101" s="138">
        <f>$C$223</f>
        <v>0</v>
      </c>
      <c r="E101" s="138">
        <f>$E$223</f>
        <v>0</v>
      </c>
      <c r="F101" s="138">
        <f>$M$223</f>
        <v>0</v>
      </c>
      <c r="G101" s="138">
        <f>$O$223</f>
        <v>0</v>
      </c>
      <c r="H101" s="138">
        <f>$Q$223</f>
        <v>0.1150828284510447</v>
      </c>
      <c r="I101" s="133"/>
      <c r="J101" s="133"/>
      <c r="K101" s="138">
        <v>0</v>
      </c>
      <c r="L101" s="138">
        <f>$C$223</f>
        <v>0</v>
      </c>
      <c r="M101" s="138">
        <f>$E$223</f>
        <v>0</v>
      </c>
      <c r="N101" s="138">
        <f>$R$223</f>
        <v>0.21869488787736116</v>
      </c>
      <c r="O101" s="138">
        <f>$Q$223</f>
        <v>0.1150828284510447</v>
      </c>
      <c r="P101" s="138">
        <f>$O$223</f>
        <v>0</v>
      </c>
      <c r="Q101" s="133"/>
      <c r="R101" s="133"/>
      <c r="S101" s="138">
        <v>0</v>
      </c>
      <c r="T101" s="138">
        <f>$C$223</f>
        <v>0</v>
      </c>
      <c r="U101" s="138">
        <f>$E$223</f>
        <v>0</v>
      </c>
      <c r="V101" s="138">
        <f>$R$223</f>
        <v>0.21869488787736116</v>
      </c>
      <c r="W101" s="138">
        <f>$S$223</f>
        <v>0.32541028179458237</v>
      </c>
      <c r="X101" s="138">
        <f>$O$223</f>
        <v>0</v>
      </c>
      <c r="Y101" s="133"/>
      <c r="Z101" s="133"/>
      <c r="AA101" s="138">
        <v>0</v>
      </c>
      <c r="AB101" s="138">
        <f>$C$223</f>
        <v>0</v>
      </c>
      <c r="AC101" s="138">
        <f>$E$223</f>
        <v>0</v>
      </c>
      <c r="AD101" s="138">
        <f>$O$223</f>
        <v>0</v>
      </c>
      <c r="AE101" s="138">
        <f>$S$223</f>
        <v>0.32541028179458237</v>
      </c>
      <c r="AF101" s="138">
        <f>$P$223</f>
        <v>0</v>
      </c>
      <c r="AG101" s="133"/>
      <c r="AH101" s="133"/>
      <c r="AI101" s="138">
        <v>0</v>
      </c>
      <c r="AJ101" s="138">
        <f>$C$223</f>
        <v>0</v>
      </c>
      <c r="AK101" s="138">
        <f>$E$223</f>
        <v>0</v>
      </c>
      <c r="AL101" s="138">
        <f>$S$223</f>
        <v>0.32541028179458237</v>
      </c>
      <c r="AM101" s="138">
        <f>$P$223</f>
        <v>0</v>
      </c>
      <c r="AN101" s="138">
        <f>$U$223</f>
        <v>0</v>
      </c>
      <c r="AO101" s="133"/>
      <c r="AP101" s="133"/>
      <c r="AQ101" s="138">
        <v>0</v>
      </c>
      <c r="AR101" s="138">
        <f>$C$223</f>
        <v>0</v>
      </c>
      <c r="AS101" s="138">
        <f>$U$223</f>
        <v>0</v>
      </c>
      <c r="AT101" s="138">
        <f>$S$223</f>
        <v>0.32541028179458237</v>
      </c>
      <c r="AU101" s="138">
        <f>$T$223</f>
        <v>0.79072946520505982</v>
      </c>
      <c r="AV101" s="138">
        <f>$V$223</f>
        <v>0.21865931964568422</v>
      </c>
      <c r="AW101" s="133"/>
      <c r="AX101" s="133"/>
      <c r="AY101" s="138">
        <v>0</v>
      </c>
      <c r="AZ101" s="138">
        <f>$C$223</f>
        <v>0</v>
      </c>
      <c r="BA101" s="138">
        <f>$E$223</f>
        <v>0</v>
      </c>
      <c r="BB101" s="138">
        <f>$S$223</f>
        <v>0.32541028179458237</v>
      </c>
      <c r="BC101" s="138">
        <f>$V$223</f>
        <v>0.21865931964568422</v>
      </c>
      <c r="BD101" s="139">
        <f>$U$223</f>
        <v>0</v>
      </c>
    </row>
    <row r="102" spans="1:56" hidden="1" outlineLevel="1" x14ac:dyDescent="0.2">
      <c r="A102" s="132"/>
      <c r="B102" s="133"/>
      <c r="C102" s="138">
        <v>1</v>
      </c>
      <c r="D102" s="138">
        <f>$C$224</f>
        <v>0.24314520678695925</v>
      </c>
      <c r="E102" s="138">
        <f>$E$224</f>
        <v>0.30614940260803009</v>
      </c>
      <c r="F102" s="138">
        <f>$M$224</f>
        <v>0.2857412661164993</v>
      </c>
      <c r="G102" s="138">
        <f>$O$224</f>
        <v>0.3829920457413164</v>
      </c>
      <c r="H102" s="138">
        <f>$Q$224</f>
        <v>0.38071562581487517</v>
      </c>
      <c r="I102" s="133"/>
      <c r="J102" s="133"/>
      <c r="K102" s="138">
        <v>1</v>
      </c>
      <c r="L102" s="138">
        <f>$C$224</f>
        <v>0.24314520678695925</v>
      </c>
      <c r="M102" s="138">
        <f>$E$224</f>
        <v>0.30614940260803009</v>
      </c>
      <c r="N102" s="138">
        <f>$R$224</f>
        <v>0.34727222007197794</v>
      </c>
      <c r="O102" s="138">
        <f>$Q$224</f>
        <v>0.38071562581487517</v>
      </c>
      <c r="P102" s="138">
        <f>$O$224</f>
        <v>0.3829920457413164</v>
      </c>
      <c r="Q102" s="133"/>
      <c r="R102" s="133"/>
      <c r="S102" s="138">
        <v>1</v>
      </c>
      <c r="T102" s="138">
        <f>$C$224</f>
        <v>0.24314520678695925</v>
      </c>
      <c r="U102" s="138">
        <f>$E$224</f>
        <v>0.30614940260803009</v>
      </c>
      <c r="V102" s="138">
        <f>$R$224</f>
        <v>0.34727222007197794</v>
      </c>
      <c r="W102" s="138">
        <f>$S$224</f>
        <v>0.45931450520405653</v>
      </c>
      <c r="X102" s="138">
        <f>$O$224</f>
        <v>0.3829920457413164</v>
      </c>
      <c r="Y102" s="133"/>
      <c r="Z102" s="133"/>
      <c r="AA102" s="138">
        <v>1</v>
      </c>
      <c r="AB102" s="138">
        <f>$C$224</f>
        <v>0.24314520678695925</v>
      </c>
      <c r="AC102" s="138">
        <f>$E$224</f>
        <v>0.30614940260803009</v>
      </c>
      <c r="AD102" s="138">
        <f>$O$224</f>
        <v>0.3829920457413164</v>
      </c>
      <c r="AE102" s="138">
        <f>$S$224</f>
        <v>0.45931450520405653</v>
      </c>
      <c r="AF102" s="138">
        <f>$P$224</f>
        <v>0.34861203795611073</v>
      </c>
      <c r="AG102" s="133"/>
      <c r="AH102" s="133"/>
      <c r="AI102" s="138">
        <v>1</v>
      </c>
      <c r="AJ102" s="138">
        <f>$C$224</f>
        <v>0.24314520678695925</v>
      </c>
      <c r="AK102" s="138">
        <f>$E$224</f>
        <v>0.30614940260803009</v>
      </c>
      <c r="AL102" s="138">
        <f>$S$224</f>
        <v>0.45931450520405653</v>
      </c>
      <c r="AM102" s="138">
        <f>$P$224</f>
        <v>0.34861203795611073</v>
      </c>
      <c r="AN102" s="138">
        <f>$U$224</f>
        <v>0</v>
      </c>
      <c r="AO102" s="133"/>
      <c r="AP102" s="133"/>
      <c r="AQ102" s="138">
        <v>1</v>
      </c>
      <c r="AR102" s="138">
        <f>$C$224</f>
        <v>0.24314520678695925</v>
      </c>
      <c r="AS102" s="138">
        <f>$U$224</f>
        <v>0</v>
      </c>
      <c r="AT102" s="138">
        <f>$S$224</f>
        <v>0.45931450520405653</v>
      </c>
      <c r="AU102" s="138">
        <f>$T$224</f>
        <v>0.20927053479494012</v>
      </c>
      <c r="AV102" s="138">
        <f>$V$224</f>
        <v>0.43401967525280682</v>
      </c>
      <c r="AW102" s="133"/>
      <c r="AX102" s="133"/>
      <c r="AY102" s="138">
        <v>1</v>
      </c>
      <c r="AZ102" s="138">
        <f>$C$224</f>
        <v>0.24314520678695925</v>
      </c>
      <c r="BA102" s="138">
        <f>$E$224</f>
        <v>0.30614940260803009</v>
      </c>
      <c r="BB102" s="138">
        <f>$S$224</f>
        <v>0.45931450520405653</v>
      </c>
      <c r="BC102" s="138">
        <f>$V$224</f>
        <v>0.43401967525280682</v>
      </c>
      <c r="BD102" s="139">
        <f>$U$224</f>
        <v>0</v>
      </c>
    </row>
    <row r="103" spans="1:56" hidden="1" outlineLevel="1" x14ac:dyDescent="0.2">
      <c r="A103" s="132"/>
      <c r="B103" s="133"/>
      <c r="C103" s="140">
        <f t="shared" ref="C103:H103" si="87">SUM(C97:C102)</f>
        <v>1</v>
      </c>
      <c r="D103" s="140">
        <f t="shared" si="87"/>
        <v>1</v>
      </c>
      <c r="E103" s="140">
        <f t="shared" si="87"/>
        <v>1</v>
      </c>
      <c r="F103" s="140">
        <f t="shared" si="87"/>
        <v>0.99999999999999989</v>
      </c>
      <c r="G103" s="140">
        <f t="shared" si="87"/>
        <v>1</v>
      </c>
      <c r="H103" s="140">
        <f t="shared" si="87"/>
        <v>1</v>
      </c>
      <c r="I103" s="133"/>
      <c r="J103" s="133"/>
      <c r="K103" s="140">
        <f t="shared" ref="K103:P103" si="88">SUM(K97:K102)</f>
        <v>1</v>
      </c>
      <c r="L103" s="140">
        <f t="shared" si="88"/>
        <v>1</v>
      </c>
      <c r="M103" s="140">
        <f t="shared" si="88"/>
        <v>1</v>
      </c>
      <c r="N103" s="140">
        <f t="shared" si="88"/>
        <v>0.99999999999999978</v>
      </c>
      <c r="O103" s="140">
        <f t="shared" si="88"/>
        <v>1</v>
      </c>
      <c r="P103" s="140">
        <f t="shared" si="88"/>
        <v>1</v>
      </c>
      <c r="Q103" s="133"/>
      <c r="R103" s="133"/>
      <c r="S103" s="140">
        <f t="shared" ref="S103:X103" si="89">SUM(S97:S102)</f>
        <v>1</v>
      </c>
      <c r="T103" s="140">
        <f t="shared" si="89"/>
        <v>1</v>
      </c>
      <c r="U103" s="140">
        <f t="shared" si="89"/>
        <v>1</v>
      </c>
      <c r="V103" s="140">
        <f t="shared" si="89"/>
        <v>0.99999999999999978</v>
      </c>
      <c r="W103" s="140">
        <f t="shared" si="89"/>
        <v>1</v>
      </c>
      <c r="X103" s="140">
        <f t="shared" si="89"/>
        <v>1</v>
      </c>
      <c r="Y103" s="133"/>
      <c r="Z103" s="133"/>
      <c r="AA103" s="140">
        <f t="shared" ref="AA103:AF103" si="90">SUM(AA97:AA102)</f>
        <v>1</v>
      </c>
      <c r="AB103" s="140">
        <f t="shared" si="90"/>
        <v>1</v>
      </c>
      <c r="AC103" s="140">
        <f t="shared" si="90"/>
        <v>1</v>
      </c>
      <c r="AD103" s="140">
        <f t="shared" si="90"/>
        <v>1</v>
      </c>
      <c r="AE103" s="140">
        <f t="shared" si="90"/>
        <v>1</v>
      </c>
      <c r="AF103" s="140">
        <f t="shared" si="90"/>
        <v>0.99999999999999989</v>
      </c>
      <c r="AG103" s="133"/>
      <c r="AH103" s="133"/>
      <c r="AI103" s="140">
        <f t="shared" ref="AI103:AN103" si="91">SUM(AI97:AI102)</f>
        <v>1</v>
      </c>
      <c r="AJ103" s="140">
        <f t="shared" si="91"/>
        <v>1</v>
      </c>
      <c r="AK103" s="140">
        <f t="shared" si="91"/>
        <v>1</v>
      </c>
      <c r="AL103" s="140">
        <f t="shared" si="91"/>
        <v>1</v>
      </c>
      <c r="AM103" s="140">
        <f t="shared" si="91"/>
        <v>0.99999999999999989</v>
      </c>
      <c r="AN103" s="140">
        <f t="shared" si="91"/>
        <v>1</v>
      </c>
      <c r="AO103" s="133"/>
      <c r="AP103" s="133"/>
      <c r="AQ103" s="140">
        <f t="shared" ref="AQ103:AV103" si="92">SUM(AQ97:AQ102)</f>
        <v>1</v>
      </c>
      <c r="AR103" s="140">
        <f t="shared" si="92"/>
        <v>1</v>
      </c>
      <c r="AS103" s="140">
        <f t="shared" si="92"/>
        <v>1</v>
      </c>
      <c r="AT103" s="140">
        <f t="shared" si="92"/>
        <v>1</v>
      </c>
      <c r="AU103" s="140">
        <f t="shared" si="92"/>
        <v>1</v>
      </c>
      <c r="AV103" s="140">
        <f t="shared" si="92"/>
        <v>1</v>
      </c>
      <c r="AW103" s="133"/>
      <c r="AX103" s="133"/>
      <c r="AY103" s="140">
        <f t="shared" ref="AY103:BD103" si="93">SUM(AY97:AY102)</f>
        <v>1</v>
      </c>
      <c r="AZ103" s="140">
        <f t="shared" si="93"/>
        <v>1</v>
      </c>
      <c r="BA103" s="140">
        <f t="shared" si="93"/>
        <v>1</v>
      </c>
      <c r="BB103" s="140">
        <f t="shared" si="93"/>
        <v>1</v>
      </c>
      <c r="BC103" s="140">
        <f t="shared" si="93"/>
        <v>1</v>
      </c>
      <c r="BD103" s="141">
        <f t="shared" si="93"/>
        <v>1</v>
      </c>
    </row>
    <row r="104" spans="1:56" hidden="1" outlineLevel="1" x14ac:dyDescent="0.2">
      <c r="A104" s="132"/>
      <c r="B104" s="142">
        <f t="array" ref="B104:B109">MMULT(C104:H109,$V$19:$V$24)</f>
        <v>-27.094233651337511</v>
      </c>
      <c r="C104" s="138">
        <f t="array" ref="C104:H109">MINVERSE(C97:H102)</f>
        <v>-0.32125740494388111</v>
      </c>
      <c r="D104" s="138">
        <v>-0.62965014155112065</v>
      </c>
      <c r="E104" s="138">
        <v>-0.5300624027093892</v>
      </c>
      <c r="F104" s="138">
        <v>-1.9799542798679552</v>
      </c>
      <c r="G104" s="138">
        <v>-1.5879302138361819</v>
      </c>
      <c r="H104" s="138">
        <v>1</v>
      </c>
      <c r="I104" s="133"/>
      <c r="J104" s="142">
        <f t="array" ref="J104:J109">MMULT(K104:P109,$V$19:$V$24)</f>
        <v>32.502239396206249</v>
      </c>
      <c r="K104" s="138">
        <f t="array" ref="K104:P109">MINVERSE(K97:P102)</f>
        <v>-0.32125740494388111</v>
      </c>
      <c r="L104" s="138">
        <v>-0.53970012132953216</v>
      </c>
      <c r="M104" s="138">
        <v>-1.5901872081281683</v>
      </c>
      <c r="N104" s="138">
        <v>0.17999584362435961</v>
      </c>
      <c r="O104" s="138">
        <v>0</v>
      </c>
      <c r="P104" s="138">
        <v>1</v>
      </c>
      <c r="Q104" s="133"/>
      <c r="R104" s="142">
        <f t="array" ref="R104:R109">MMULT(S104:X109,$V$19:$V$24)</f>
        <v>-31.029259150534735</v>
      </c>
      <c r="S104" s="138">
        <f t="array" ref="S104:X109">MINVERSE(S97:X102)</f>
        <v>-0.32125740494388111</v>
      </c>
      <c r="T104" s="138">
        <v>-0.68961682169884664</v>
      </c>
      <c r="U104" s="138">
        <v>0.17668746756979781</v>
      </c>
      <c r="V104" s="138">
        <v>-3.4199210288628343</v>
      </c>
      <c r="W104" s="138">
        <v>-1.3232751781968188</v>
      </c>
      <c r="X104" s="138">
        <v>1</v>
      </c>
      <c r="Y104" s="133"/>
      <c r="Z104" s="142">
        <f t="array" ref="Z104:Z109">MMULT(AA104:AF109,$V$19:$V$24)</f>
        <v>8.6382683745404663</v>
      </c>
      <c r="AA104" s="138">
        <f t="array" ref="AA104:AF109">MINVERSE(AA97:AF102)</f>
        <v>-0.32125740494388111</v>
      </c>
      <c r="AB104" s="138">
        <v>-0.53970012132953193</v>
      </c>
      <c r="AC104" s="138">
        <v>-1.5901872081281685</v>
      </c>
      <c r="AD104" s="138">
        <v>0.17999584362435916</v>
      </c>
      <c r="AE104" s="138">
        <v>-0.88218345213121252</v>
      </c>
      <c r="AF104" s="138">
        <v>1</v>
      </c>
      <c r="AG104" s="133"/>
      <c r="AH104" s="142">
        <f t="array" ref="AH104:AH109">MMULT(AI104:AN109,$V$19:$V$24)</f>
        <v>6.1328634483896138</v>
      </c>
      <c r="AI104" s="138">
        <f t="array" ref="AI104:AN109">MINVERSE(AI97:AN102)</f>
        <v>-0.32125740494388111</v>
      </c>
      <c r="AJ104" s="138">
        <v>-0.55469179136646352</v>
      </c>
      <c r="AK104" s="138">
        <v>-1.4134997405583718</v>
      </c>
      <c r="AL104" s="138">
        <v>0</v>
      </c>
      <c r="AM104" s="138">
        <v>-0.9262926247377733</v>
      </c>
      <c r="AN104" s="138">
        <v>1</v>
      </c>
      <c r="AO104" s="133"/>
      <c r="AP104" s="142">
        <f t="array" ref="AP104:AP109">MMULT(AQ104:AV109,$V$19:$V$24)</f>
        <v>2.000517721899925</v>
      </c>
      <c r="AQ104" s="138">
        <f t="array" ref="AQ104:AV109">MINVERSE(AQ97:AV102)</f>
        <v>-0.32125740494388111</v>
      </c>
      <c r="AR104" s="138">
        <v>-3.5980008088635467</v>
      </c>
      <c r="AS104" s="138">
        <v>-4.0638117541053198</v>
      </c>
      <c r="AT104" s="138">
        <v>0</v>
      </c>
      <c r="AU104" s="138">
        <v>-0.26465503563936371</v>
      </c>
      <c r="AV104" s="138">
        <v>1</v>
      </c>
      <c r="AW104" s="133"/>
      <c r="AX104" s="142">
        <f t="array" ref="AX104:AX109">MMULT(AY104:BD109,$V$19:$V$24)</f>
        <v>-7.8938167184104415</v>
      </c>
      <c r="AY104" s="138">
        <f t="array" ref="AY104:BD109">MINVERSE(AY97:BD102)</f>
        <v>-0.32125740494388111</v>
      </c>
      <c r="AZ104" s="138">
        <v>-0.7561016192539336</v>
      </c>
      <c r="BA104" s="138">
        <v>0.96025797592280604</v>
      </c>
      <c r="BB104" s="138">
        <v>0</v>
      </c>
      <c r="BC104" s="138">
        <v>-1.5188897697563482</v>
      </c>
      <c r="BD104" s="139">
        <v>1</v>
      </c>
    </row>
    <row r="105" spans="1:56" hidden="1" outlineLevel="1" x14ac:dyDescent="0.2">
      <c r="A105" s="132"/>
      <c r="B105" s="142">
        <v>-16.276836856495972</v>
      </c>
      <c r="C105" s="138">
        <v>1.321257404943881</v>
      </c>
      <c r="D105" s="138">
        <v>-1.9730326890718541</v>
      </c>
      <c r="E105" s="138">
        <v>-2.1800240675680822</v>
      </c>
      <c r="F105" s="138">
        <v>-0.74028127472843619</v>
      </c>
      <c r="G105" s="138">
        <v>-0.54423247559893539</v>
      </c>
      <c r="H105" s="138">
        <v>0</v>
      </c>
      <c r="I105" s="133"/>
      <c r="J105" s="142">
        <v>24.574248135802101</v>
      </c>
      <c r="K105" s="138">
        <v>1.321257404943881</v>
      </c>
      <c r="L105" s="138">
        <v>-1.9113754175383586</v>
      </c>
      <c r="M105" s="138">
        <v>-2.9066987567574425</v>
      </c>
      <c r="N105" s="138">
        <v>0.74028127472843619</v>
      </c>
      <c r="O105" s="138">
        <v>0.54423247559893539</v>
      </c>
      <c r="P105" s="138">
        <v>0</v>
      </c>
      <c r="Q105" s="133"/>
      <c r="R105" s="142">
        <v>-1.5547878366842793</v>
      </c>
      <c r="S105" s="138">
        <v>1.321257404943881</v>
      </c>
      <c r="T105" s="138">
        <v>-1.9730326890718541</v>
      </c>
      <c r="U105" s="138">
        <v>-2.1800240675680818</v>
      </c>
      <c r="V105" s="138">
        <v>-0.74028127472843674</v>
      </c>
      <c r="W105" s="138">
        <v>-2.9337807848503616E-16</v>
      </c>
      <c r="X105" s="138">
        <v>0</v>
      </c>
      <c r="Y105" s="133"/>
      <c r="Z105" s="142">
        <v>14.759548789260965</v>
      </c>
      <c r="AA105" s="138">
        <v>1.321257404943881</v>
      </c>
      <c r="AB105" s="138">
        <v>-1.9113754175383588</v>
      </c>
      <c r="AC105" s="138">
        <v>-2.9066987567574429</v>
      </c>
      <c r="AD105" s="138">
        <v>0.74028127472843674</v>
      </c>
      <c r="AE105" s="138">
        <v>0.18141082519964508</v>
      </c>
      <c r="AF105" s="138">
        <v>0</v>
      </c>
      <c r="AG105" s="133"/>
      <c r="AH105" s="142">
        <v>4.4553977872383239</v>
      </c>
      <c r="AI105" s="138">
        <v>1.321257404943881</v>
      </c>
      <c r="AJ105" s="138">
        <v>-1.9730326890718541</v>
      </c>
      <c r="AK105" s="138">
        <v>-2.1800240675680818</v>
      </c>
      <c r="AL105" s="138">
        <v>0</v>
      </c>
      <c r="AM105" s="138">
        <v>0</v>
      </c>
      <c r="AN105" s="138">
        <v>0</v>
      </c>
      <c r="AO105" s="133"/>
      <c r="AP105" s="142">
        <v>8.9363994147879318</v>
      </c>
      <c r="AQ105" s="138">
        <v>1.321257404943881</v>
      </c>
      <c r="AR105" s="138">
        <v>-1.2331454306699088</v>
      </c>
      <c r="AS105" s="138">
        <v>-2.1800240675680822</v>
      </c>
      <c r="AT105" s="138">
        <v>0</v>
      </c>
      <c r="AU105" s="138">
        <v>0</v>
      </c>
      <c r="AV105" s="138">
        <v>0</v>
      </c>
      <c r="AW105" s="133"/>
      <c r="AX105" s="142">
        <v>11.176387074699267</v>
      </c>
      <c r="AY105" s="138">
        <v>1.321257404943881</v>
      </c>
      <c r="AZ105" s="138">
        <v>-1.8765256553672525</v>
      </c>
      <c r="BA105" s="138">
        <v>-3.3174279289079514</v>
      </c>
      <c r="BB105" s="138">
        <v>0</v>
      </c>
      <c r="BC105" s="138">
        <v>0.2839473785733575</v>
      </c>
      <c r="BD105" s="139">
        <v>0</v>
      </c>
    </row>
    <row r="106" spans="1:56" hidden="1" outlineLevel="1" x14ac:dyDescent="0.2">
      <c r="A106" s="132"/>
      <c r="B106" s="142">
        <v>23.72554180108822</v>
      </c>
      <c r="C106" s="138">
        <v>0</v>
      </c>
      <c r="D106" s="138">
        <v>3.9174781748310292</v>
      </c>
      <c r="E106" s="138">
        <v>0</v>
      </c>
      <c r="F106" s="138">
        <v>0</v>
      </c>
      <c r="G106" s="138">
        <v>0</v>
      </c>
      <c r="H106" s="138">
        <v>0</v>
      </c>
      <c r="I106" s="133"/>
      <c r="J106" s="142">
        <v>23.72554180108822</v>
      </c>
      <c r="K106" s="138">
        <v>0</v>
      </c>
      <c r="L106" s="138">
        <v>3.9174781748310292</v>
      </c>
      <c r="M106" s="138">
        <v>0</v>
      </c>
      <c r="N106" s="138">
        <v>0</v>
      </c>
      <c r="O106" s="138">
        <v>0</v>
      </c>
      <c r="P106" s="138">
        <v>0</v>
      </c>
      <c r="Q106" s="133"/>
      <c r="R106" s="142">
        <v>23.72554180108822</v>
      </c>
      <c r="S106" s="138">
        <v>0</v>
      </c>
      <c r="T106" s="138">
        <v>3.9174781748310292</v>
      </c>
      <c r="U106" s="138">
        <v>0</v>
      </c>
      <c r="V106" s="138">
        <v>0</v>
      </c>
      <c r="W106" s="138">
        <v>0</v>
      </c>
      <c r="X106" s="138">
        <v>0</v>
      </c>
      <c r="Y106" s="133"/>
      <c r="Z106" s="142">
        <v>23.72554180108822</v>
      </c>
      <c r="AA106" s="138">
        <v>0</v>
      </c>
      <c r="AB106" s="138">
        <v>3.9174781748310292</v>
      </c>
      <c r="AC106" s="138">
        <v>0</v>
      </c>
      <c r="AD106" s="138">
        <v>0</v>
      </c>
      <c r="AE106" s="138">
        <v>0</v>
      </c>
      <c r="AF106" s="138">
        <v>0</v>
      </c>
      <c r="AG106" s="133"/>
      <c r="AH106" s="142">
        <v>23.72554180108822</v>
      </c>
      <c r="AI106" s="138">
        <v>0</v>
      </c>
      <c r="AJ106" s="138">
        <v>3.9174781748310292</v>
      </c>
      <c r="AK106" s="138">
        <v>0</v>
      </c>
      <c r="AL106" s="138">
        <v>0</v>
      </c>
      <c r="AM106" s="138">
        <v>0</v>
      </c>
      <c r="AN106" s="138">
        <v>0</v>
      </c>
      <c r="AO106" s="133"/>
      <c r="AP106" s="142">
        <v>-1.9697248488803449</v>
      </c>
      <c r="AQ106" s="138">
        <v>0</v>
      </c>
      <c r="AR106" s="138">
        <v>-1.6657795796905346</v>
      </c>
      <c r="AS106" s="138">
        <v>0</v>
      </c>
      <c r="AT106" s="138">
        <v>1</v>
      </c>
      <c r="AU106" s="138">
        <v>0</v>
      </c>
      <c r="AV106" s="138">
        <v>0</v>
      </c>
      <c r="AW106" s="133"/>
      <c r="AX106" s="142">
        <v>-11.860053906789126</v>
      </c>
      <c r="AY106" s="138">
        <v>0</v>
      </c>
      <c r="AZ106" s="138">
        <v>3.4065027607226339</v>
      </c>
      <c r="BA106" s="138">
        <v>6.0222077785084354</v>
      </c>
      <c r="BB106" s="138">
        <v>0</v>
      </c>
      <c r="BC106" s="138">
        <v>-1.50341507537804</v>
      </c>
      <c r="BD106" s="139">
        <v>0</v>
      </c>
    </row>
    <row r="107" spans="1:56" hidden="1" outlineLevel="1" x14ac:dyDescent="0.2">
      <c r="A107" s="132"/>
      <c r="B107" s="142">
        <v>-208.56796030030102</v>
      </c>
      <c r="C107" s="138">
        <v>0</v>
      </c>
      <c r="D107" s="138">
        <v>-0.31479534420805438</v>
      </c>
      <c r="E107" s="138">
        <v>3.7100864702774721</v>
      </c>
      <c r="F107" s="138">
        <v>-7.5591116146720081</v>
      </c>
      <c r="G107" s="138">
        <v>-5.5572309712828414</v>
      </c>
      <c r="H107" s="138">
        <v>0</v>
      </c>
      <c r="I107" s="133"/>
      <c r="J107" s="142">
        <v>343.22626229757964</v>
      </c>
      <c r="K107" s="138">
        <v>0</v>
      </c>
      <c r="L107" s="138">
        <v>0.51803752228119482</v>
      </c>
      <c r="M107" s="138">
        <v>-6.1054397336996891</v>
      </c>
      <c r="N107" s="138">
        <v>12.439521497254393</v>
      </c>
      <c r="O107" s="138">
        <v>9.1451611851190204</v>
      </c>
      <c r="P107" s="138">
        <v>0</v>
      </c>
      <c r="Q107" s="133"/>
      <c r="R107" s="142">
        <v>-205.60685657590506</v>
      </c>
      <c r="S107" s="138">
        <v>0</v>
      </c>
      <c r="T107" s="138">
        <v>-0.77705628342179234</v>
      </c>
      <c r="U107" s="138">
        <v>9.1581596005495349</v>
      </c>
      <c r="V107" s="138">
        <v>-18.659282245881595</v>
      </c>
      <c r="W107" s="138">
        <v>-2.2862902962797547</v>
      </c>
      <c r="X107" s="138">
        <v>0</v>
      </c>
      <c r="Y107" s="133"/>
      <c r="Z107" s="142">
        <v>-156.99991395704777</v>
      </c>
      <c r="AA107" s="138">
        <v>0</v>
      </c>
      <c r="AB107" s="138">
        <v>-0.93944530934037662</v>
      </c>
      <c r="AC107" s="138">
        <v>11.072029481623407</v>
      </c>
      <c r="AD107" s="138">
        <v>-11.279347169268398</v>
      </c>
      <c r="AE107" s="138">
        <v>-2.7640786651545155</v>
      </c>
      <c r="AF107" s="138">
        <v>0</v>
      </c>
      <c r="AG107" s="133"/>
      <c r="AH107" s="142">
        <v>83.128995932105909</v>
      </c>
      <c r="AI107" s="138">
        <v>0</v>
      </c>
      <c r="AJ107" s="138">
        <v>0</v>
      </c>
      <c r="AK107" s="138">
        <v>0</v>
      </c>
      <c r="AL107" s="138">
        <v>0</v>
      </c>
      <c r="AM107" s="138">
        <v>3.07304364965105</v>
      </c>
      <c r="AN107" s="138">
        <v>0</v>
      </c>
      <c r="AO107" s="133"/>
      <c r="AP107" s="142">
        <v>16.716107446731879</v>
      </c>
      <c r="AQ107" s="138">
        <v>0</v>
      </c>
      <c r="AR107" s="138">
        <v>0</v>
      </c>
      <c r="AS107" s="138">
        <v>12.3096460011025</v>
      </c>
      <c r="AT107" s="138">
        <v>0</v>
      </c>
      <c r="AU107" s="138">
        <v>0</v>
      </c>
      <c r="AV107" s="138">
        <v>0</v>
      </c>
      <c r="AW107" s="133"/>
      <c r="AX107" s="142">
        <v>19.878166016468896</v>
      </c>
      <c r="AY107" s="138">
        <v>0</v>
      </c>
      <c r="AZ107" s="138">
        <v>-0.90822194671558942</v>
      </c>
      <c r="BA107" s="138">
        <v>10.704040000958695</v>
      </c>
      <c r="BB107" s="138">
        <v>0</v>
      </c>
      <c r="BC107" s="138">
        <v>0.40083178038926709</v>
      </c>
      <c r="BD107" s="139">
        <v>0</v>
      </c>
    </row>
    <row r="108" spans="1:56" hidden="1" outlineLevel="1" x14ac:dyDescent="0.2">
      <c r="A108" s="132"/>
      <c r="B108" s="142">
        <v>91.574611594541878</v>
      </c>
      <c r="C108" s="138">
        <v>0</v>
      </c>
      <c r="D108" s="138">
        <v>0</v>
      </c>
      <c r="E108" s="138">
        <v>0</v>
      </c>
      <c r="F108" s="138">
        <v>11.279347169268398</v>
      </c>
      <c r="G108" s="138">
        <v>0</v>
      </c>
      <c r="H108" s="138">
        <v>0</v>
      </c>
      <c r="I108" s="133"/>
      <c r="J108" s="142">
        <v>-417.18473211310641</v>
      </c>
      <c r="K108" s="138">
        <v>0</v>
      </c>
      <c r="L108" s="138">
        <v>-0.98444015824433306</v>
      </c>
      <c r="M108" s="138">
        <v>11.602325698585298</v>
      </c>
      <c r="N108" s="138">
        <v>-23.639145784875584</v>
      </c>
      <c r="O108" s="138">
        <v>-8.689393660717954</v>
      </c>
      <c r="P108" s="138">
        <v>0</v>
      </c>
      <c r="Q108" s="133"/>
      <c r="R108" s="142">
        <v>221.30892127960561</v>
      </c>
      <c r="S108" s="138">
        <v>0</v>
      </c>
      <c r="T108" s="138">
        <v>0.52222761936146389</v>
      </c>
      <c r="U108" s="138">
        <v>-6.1548230005512501</v>
      </c>
      <c r="V108" s="138">
        <v>12.540137380204467</v>
      </c>
      <c r="W108" s="138">
        <v>4.6095654744765744</v>
      </c>
      <c r="X108" s="138">
        <v>0</v>
      </c>
      <c r="Y108" s="133"/>
      <c r="Z108" s="142">
        <v>83.128995932105909</v>
      </c>
      <c r="AA108" s="138">
        <v>0</v>
      </c>
      <c r="AB108" s="138">
        <v>0</v>
      </c>
      <c r="AC108" s="138">
        <v>0</v>
      </c>
      <c r="AD108" s="138">
        <v>0</v>
      </c>
      <c r="AE108" s="138">
        <v>3.07304364965105</v>
      </c>
      <c r="AF108" s="138">
        <v>0</v>
      </c>
      <c r="AG108" s="133"/>
      <c r="AH108" s="142">
        <v>-32.943865521883843</v>
      </c>
      <c r="AI108" s="138">
        <v>0</v>
      </c>
      <c r="AJ108" s="138">
        <v>-0.47304267337723832</v>
      </c>
      <c r="AK108" s="138">
        <v>5.5751435167377954</v>
      </c>
      <c r="AL108" s="138">
        <v>0</v>
      </c>
      <c r="AM108" s="138">
        <v>-1.3918076424350334</v>
      </c>
      <c r="AN108" s="138">
        <v>0</v>
      </c>
      <c r="AO108" s="133"/>
      <c r="AP108" s="142">
        <v>9.9765375123723814</v>
      </c>
      <c r="AQ108" s="138">
        <v>0</v>
      </c>
      <c r="AR108" s="138">
        <v>-2.8655099585082962</v>
      </c>
      <c r="AS108" s="138">
        <v>-5.0658101794290973</v>
      </c>
      <c r="AT108" s="138">
        <v>0</v>
      </c>
      <c r="AU108" s="138">
        <v>1.2646550356393638</v>
      </c>
      <c r="AV108" s="138">
        <v>0</v>
      </c>
      <c r="AW108" s="133"/>
      <c r="AX108" s="142">
        <v>94.130313859663033</v>
      </c>
      <c r="AY108" s="138">
        <v>0</v>
      </c>
      <c r="AZ108" s="138">
        <v>1.3516220579650808</v>
      </c>
      <c r="BA108" s="138">
        <v>-15.929824892424614</v>
      </c>
      <c r="BB108" s="138">
        <v>0</v>
      </c>
      <c r="BC108" s="138">
        <v>3.9768038188372157</v>
      </c>
      <c r="BD108" s="139">
        <v>0</v>
      </c>
    </row>
    <row r="109" spans="1:56" hidden="1" outlineLevel="1" x14ac:dyDescent="0.2">
      <c r="A109" s="132"/>
      <c r="B109" s="142">
        <v>235.05704852461599</v>
      </c>
      <c r="C109" s="138">
        <v>0</v>
      </c>
      <c r="D109" s="138">
        <v>0</v>
      </c>
      <c r="E109" s="138">
        <v>0</v>
      </c>
      <c r="F109" s="138">
        <v>0</v>
      </c>
      <c r="G109" s="138">
        <v>8.6893936607179576</v>
      </c>
      <c r="H109" s="138">
        <v>0</v>
      </c>
      <c r="I109" s="133"/>
      <c r="J109" s="142">
        <v>91.574611594541878</v>
      </c>
      <c r="K109" s="138">
        <v>0</v>
      </c>
      <c r="L109" s="138">
        <v>0</v>
      </c>
      <c r="M109" s="138">
        <v>0</v>
      </c>
      <c r="N109" s="138">
        <v>11.279347169268398</v>
      </c>
      <c r="O109" s="138">
        <v>0</v>
      </c>
      <c r="P109" s="138">
        <v>0</v>
      </c>
      <c r="Q109" s="133"/>
      <c r="R109" s="142">
        <v>91.574611594541878</v>
      </c>
      <c r="S109" s="138">
        <v>0</v>
      </c>
      <c r="T109" s="138">
        <v>0</v>
      </c>
      <c r="U109" s="138">
        <v>0</v>
      </c>
      <c r="V109" s="138">
        <v>11.279347169268398</v>
      </c>
      <c r="W109" s="138">
        <v>0</v>
      </c>
      <c r="X109" s="138">
        <v>0</v>
      </c>
      <c r="Y109" s="133"/>
      <c r="Z109" s="142">
        <v>125.16573017216386</v>
      </c>
      <c r="AA109" s="138">
        <v>0</v>
      </c>
      <c r="AB109" s="138">
        <v>0.47304267337723827</v>
      </c>
      <c r="AC109" s="138">
        <v>-5.5751435167377954</v>
      </c>
      <c r="AD109" s="138">
        <v>11.359070050915603</v>
      </c>
      <c r="AE109" s="138">
        <v>1.3918076424350334</v>
      </c>
      <c r="AF109" s="138">
        <v>0</v>
      </c>
      <c r="AG109" s="133"/>
      <c r="AH109" s="142">
        <v>13.919237665173409</v>
      </c>
      <c r="AI109" s="138">
        <v>0</v>
      </c>
      <c r="AJ109" s="138">
        <v>8.3288978984526724E-2</v>
      </c>
      <c r="AK109" s="138">
        <v>-0.98161970861134162</v>
      </c>
      <c r="AL109" s="138">
        <v>1</v>
      </c>
      <c r="AM109" s="138">
        <v>0.24505661752175673</v>
      </c>
      <c r="AN109" s="138">
        <v>0</v>
      </c>
      <c r="AO109" s="133"/>
      <c r="AP109" s="142">
        <v>62.758333865199845</v>
      </c>
      <c r="AQ109" s="138">
        <v>0</v>
      </c>
      <c r="AR109" s="138">
        <v>10.362435777732285</v>
      </c>
      <c r="AS109" s="138">
        <v>0</v>
      </c>
      <c r="AT109" s="138">
        <v>0</v>
      </c>
      <c r="AU109" s="138">
        <v>0</v>
      </c>
      <c r="AV109" s="138">
        <v>0</v>
      </c>
      <c r="AW109" s="133"/>
      <c r="AX109" s="142">
        <v>-7.0128252135200064</v>
      </c>
      <c r="AY109" s="138">
        <v>0</v>
      </c>
      <c r="AZ109" s="138">
        <v>-0.21727559735093932</v>
      </c>
      <c r="BA109" s="138">
        <v>2.5607470659426306</v>
      </c>
      <c r="BB109" s="138">
        <v>1</v>
      </c>
      <c r="BC109" s="138">
        <v>-0.63927813266545241</v>
      </c>
      <c r="BD109" s="139">
        <v>0</v>
      </c>
    </row>
    <row r="110" spans="1:56" hidden="1" outlineLevel="1" x14ac:dyDescent="0.2">
      <c r="A110" s="132"/>
      <c r="B110" s="143">
        <f>SUM(B104:B109)</f>
        <v>98.418171112111565</v>
      </c>
      <c r="C110" s="133"/>
      <c r="D110" s="133"/>
      <c r="E110" s="133"/>
      <c r="F110" s="133"/>
      <c r="G110" s="133"/>
      <c r="H110" s="133"/>
      <c r="I110" s="133"/>
      <c r="J110" s="143">
        <f>SUM(J104:J109)</f>
        <v>98.418171112111693</v>
      </c>
      <c r="K110" s="133"/>
      <c r="L110" s="133"/>
      <c r="M110" s="133"/>
      <c r="N110" s="133"/>
      <c r="O110" s="133"/>
      <c r="P110" s="133"/>
      <c r="Q110" s="133"/>
      <c r="R110" s="143">
        <f>SUM(R104:R109)</f>
        <v>98.418171112111636</v>
      </c>
      <c r="S110" s="133"/>
      <c r="T110" s="133"/>
      <c r="U110" s="133"/>
      <c r="V110" s="133"/>
      <c r="W110" s="133"/>
      <c r="X110" s="133"/>
      <c r="Y110" s="133"/>
      <c r="Z110" s="143">
        <f>SUM(Z104:Z109)</f>
        <v>98.418171112111651</v>
      </c>
      <c r="AA110" s="133"/>
      <c r="AB110" s="133"/>
      <c r="AC110" s="133"/>
      <c r="AD110" s="133"/>
      <c r="AE110" s="133"/>
      <c r="AF110" s="133"/>
      <c r="AG110" s="133"/>
      <c r="AH110" s="143">
        <f>SUM(AH104:AH109)</f>
        <v>98.418171112111636</v>
      </c>
      <c r="AI110" s="133"/>
      <c r="AJ110" s="133"/>
      <c r="AK110" s="133"/>
      <c r="AL110" s="133"/>
      <c r="AM110" s="133"/>
      <c r="AN110" s="133"/>
      <c r="AO110" s="133"/>
      <c r="AP110" s="143">
        <f>SUM(AP104:AP109)</f>
        <v>98.418171112111622</v>
      </c>
      <c r="AQ110" s="133"/>
      <c r="AR110" s="133"/>
      <c r="AS110" s="133"/>
      <c r="AT110" s="133"/>
      <c r="AU110" s="133"/>
      <c r="AV110" s="133"/>
      <c r="AW110" s="133"/>
      <c r="AX110" s="143">
        <f>SUM(AX104:AX109)</f>
        <v>98.418171112111622</v>
      </c>
      <c r="AY110" s="133"/>
      <c r="AZ110" s="133"/>
      <c r="BA110" s="133"/>
      <c r="BB110" s="133"/>
      <c r="BC110" s="133"/>
      <c r="BD110" s="134"/>
    </row>
    <row r="111" spans="1:56" hidden="1" outlineLevel="1" x14ac:dyDescent="0.2">
      <c r="A111" s="132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L111" s="133"/>
      <c r="M111" s="133"/>
      <c r="N111" s="133"/>
      <c r="O111" s="133"/>
      <c r="P111" s="133"/>
      <c r="Q111" s="133"/>
      <c r="R111" s="133"/>
      <c r="S111" s="133"/>
      <c r="T111" s="133"/>
      <c r="U111" s="133"/>
      <c r="V111" s="133"/>
      <c r="W111" s="133"/>
      <c r="X111" s="133"/>
      <c r="Y111" s="133"/>
      <c r="Z111" s="133"/>
      <c r="AA111" s="133"/>
      <c r="AB111" s="133"/>
      <c r="AC111" s="133"/>
      <c r="AD111" s="133"/>
      <c r="AE111" s="133"/>
      <c r="AF111" s="133"/>
      <c r="AG111" s="133"/>
      <c r="AH111" s="133"/>
      <c r="AI111" s="133"/>
      <c r="AJ111" s="133"/>
      <c r="AK111" s="133"/>
      <c r="AL111" s="133"/>
      <c r="AM111" s="133"/>
      <c r="AN111" s="133"/>
      <c r="AO111" s="133"/>
      <c r="AP111" s="133"/>
      <c r="AQ111" s="133"/>
      <c r="AR111" s="133"/>
      <c r="AS111" s="133"/>
      <c r="AT111" s="133"/>
      <c r="AU111" s="133"/>
      <c r="AV111" s="133"/>
      <c r="AW111" s="133"/>
      <c r="AX111" s="133"/>
      <c r="AY111" s="133"/>
      <c r="AZ111" s="133"/>
      <c r="BA111" s="133"/>
      <c r="BB111" s="133"/>
      <c r="BC111" s="133"/>
      <c r="BD111" s="134"/>
    </row>
    <row r="112" spans="1:56" hidden="1" outlineLevel="1" x14ac:dyDescent="0.2">
      <c r="A112" s="135" t="s">
        <v>61</v>
      </c>
      <c r="B112" s="136">
        <v>21</v>
      </c>
      <c r="C112" s="136" t="s">
        <v>59</v>
      </c>
      <c r="D112" s="136" t="str">
        <f>$F$218</f>
        <v>C1.3A0.1SH3</v>
      </c>
      <c r="E112" s="136" t="str">
        <f>$E$218</f>
        <v>C1.75A0.05SH4.3</v>
      </c>
      <c r="F112" s="136" t="str">
        <f>$M$218</f>
        <v>Hydrogarnet</v>
      </c>
      <c r="G112" s="136" t="str">
        <f>$O$218</f>
        <v>Hemicarbonate</v>
      </c>
      <c r="H112" s="136" t="str">
        <f>$Q$218</f>
        <v>Hemisulphate</v>
      </c>
      <c r="I112" s="133"/>
      <c r="J112" s="136">
        <v>22</v>
      </c>
      <c r="K112" s="136" t="s">
        <v>59</v>
      </c>
      <c r="L112" s="136" t="str">
        <f>$F$218</f>
        <v>C1.3A0.1SH3</v>
      </c>
      <c r="M112" s="136" t="str">
        <f>$E$218</f>
        <v>C1.75A0.05SH4.3</v>
      </c>
      <c r="N112" s="136" t="str">
        <f>$R$218</f>
        <v>monosulphate</v>
      </c>
      <c r="O112" s="136" t="str">
        <f>$Q$218</f>
        <v>Hemisulphate</v>
      </c>
      <c r="P112" s="136" t="str">
        <f>$O$218</f>
        <v>Hemicarbonate</v>
      </c>
      <c r="Q112" s="133"/>
      <c r="R112" s="136">
        <v>23</v>
      </c>
      <c r="S112" s="136" t="s">
        <v>59</v>
      </c>
      <c r="T112" s="136" t="str">
        <f>$F$218</f>
        <v>C1.3A0.1SH3</v>
      </c>
      <c r="U112" s="136" t="str">
        <f>$E$218</f>
        <v>C1.75A0.05SH4.3</v>
      </c>
      <c r="V112" s="136" t="str">
        <f>$R$218</f>
        <v>monosulphate</v>
      </c>
      <c r="W112" s="136" t="str">
        <f>$S$218</f>
        <v>ettringite</v>
      </c>
      <c r="X112" s="136" t="str">
        <f>$O$218</f>
        <v>Hemicarbonate</v>
      </c>
      <c r="Y112" s="133"/>
      <c r="Z112" s="136">
        <v>24</v>
      </c>
      <c r="AA112" s="136" t="s">
        <v>59</v>
      </c>
      <c r="AB112" s="136" t="str">
        <f>$F$218</f>
        <v>C1.3A0.1SH3</v>
      </c>
      <c r="AC112" s="136" t="str">
        <f>$E$218</f>
        <v>C1.75A0.05SH4.3</v>
      </c>
      <c r="AD112" s="136" t="str">
        <f>$O$218</f>
        <v>Hemicarbonate</v>
      </c>
      <c r="AE112" s="136" t="str">
        <f>$S$218</f>
        <v>ettringite</v>
      </c>
      <c r="AF112" s="136" t="str">
        <f>$P$218</f>
        <v>monocarbonate</v>
      </c>
      <c r="AG112" s="133"/>
      <c r="AH112" s="136">
        <v>25</v>
      </c>
      <c r="AI112" s="136" t="s">
        <v>59</v>
      </c>
      <c r="AJ112" s="136" t="str">
        <f>$F$218</f>
        <v>C1.3A0.1SH3</v>
      </c>
      <c r="AK112" s="136" t="str">
        <f>$E$218</f>
        <v>C1.75A0.05SH4.3</v>
      </c>
      <c r="AL112" s="136" t="str">
        <f>$S$218</f>
        <v>ettringite</v>
      </c>
      <c r="AM112" s="136" t="str">
        <f>$P$218</f>
        <v>monocarbonate</v>
      </c>
      <c r="AN112" s="136" t="str">
        <f>$U$218</f>
        <v>calcite</v>
      </c>
      <c r="AO112" s="133"/>
      <c r="AP112" s="136">
        <v>26</v>
      </c>
      <c r="AQ112" s="136" t="s">
        <v>59</v>
      </c>
      <c r="AR112" s="136" t="str">
        <f>$U$218</f>
        <v>calcite</v>
      </c>
      <c r="AS112" s="136" t="str">
        <f>$E$218</f>
        <v>C1.75A0.05SH4.3</v>
      </c>
      <c r="AT112" s="136" t="str">
        <f>$S$218</f>
        <v>ettringite</v>
      </c>
      <c r="AU112" s="136" t="str">
        <f>$T$218</f>
        <v>gypsum</v>
      </c>
      <c r="AV112" s="136" t="str">
        <f>$V$218</f>
        <v>thaumasite</v>
      </c>
      <c r="AW112" s="133"/>
      <c r="AX112" s="136">
        <v>27</v>
      </c>
      <c r="AY112" s="136" t="s">
        <v>59</v>
      </c>
      <c r="AZ112" s="136" t="str">
        <f>$F$218</f>
        <v>C1.3A0.1SH3</v>
      </c>
      <c r="BA112" s="136" t="str">
        <f>$E$218</f>
        <v>C1.75A0.05SH4.3</v>
      </c>
      <c r="BB112" s="136" t="str">
        <f>$S$218</f>
        <v>ettringite</v>
      </c>
      <c r="BC112" s="136" t="str">
        <f>$V$218</f>
        <v>thaumasite</v>
      </c>
      <c r="BD112" s="137" t="str">
        <f>$U$218</f>
        <v>calcite</v>
      </c>
    </row>
    <row r="113" spans="1:56" hidden="1" outlineLevel="1" x14ac:dyDescent="0.2">
      <c r="A113" s="132"/>
      <c r="B113" s="133"/>
      <c r="C113" s="138">
        <v>0</v>
      </c>
      <c r="D113" s="138">
        <f>$F$219</f>
        <v>0.36962820238752458</v>
      </c>
      <c r="E113" s="138">
        <f>$E$219</f>
        <v>0.41692537379616368</v>
      </c>
      <c r="F113" s="138">
        <f>$M$219</f>
        <v>0.44472323706657291</v>
      </c>
      <c r="G113" s="138">
        <f>$O$219</f>
        <v>0.34771498375494458</v>
      </c>
      <c r="H113" s="138">
        <f>$Q$219</f>
        <v>0.33182231315971239</v>
      </c>
      <c r="I113" s="133"/>
      <c r="J113" s="133"/>
      <c r="K113" s="138">
        <v>0</v>
      </c>
      <c r="L113" s="138">
        <f>$F$219</f>
        <v>0.36962820238752458</v>
      </c>
      <c r="M113" s="138">
        <f>$E$219</f>
        <v>0.41692537379616368</v>
      </c>
      <c r="N113" s="138">
        <f>$R$219</f>
        <v>0.27024452567298896</v>
      </c>
      <c r="O113" s="138">
        <f>$Q$219</f>
        <v>0.33182231315971239</v>
      </c>
      <c r="P113" s="138">
        <f>$O$219</f>
        <v>0.34771498375494458</v>
      </c>
      <c r="Q113" s="133"/>
      <c r="R113" s="133"/>
      <c r="S113" s="138">
        <v>0</v>
      </c>
      <c r="T113" s="138">
        <f>$F$219</f>
        <v>0.36962820238752458</v>
      </c>
      <c r="U113" s="138">
        <f>$E$219</f>
        <v>0.41692537379616368</v>
      </c>
      <c r="V113" s="138">
        <f>$R$219</f>
        <v>0.27024452567298896</v>
      </c>
      <c r="W113" s="138">
        <f>$S$219</f>
        <v>0.13403810838353239</v>
      </c>
      <c r="X113" s="138">
        <f>$O$219</f>
        <v>0.34771498375494458</v>
      </c>
      <c r="Y113" s="133"/>
      <c r="Z113" s="133"/>
      <c r="AA113" s="138">
        <v>0</v>
      </c>
      <c r="AB113" s="138">
        <f>$F$219</f>
        <v>0.36962820238752458</v>
      </c>
      <c r="AC113" s="138">
        <f>$E$219</f>
        <v>0.41692537379616368</v>
      </c>
      <c r="AD113" s="138">
        <f>$O$219</f>
        <v>0.34771498375494458</v>
      </c>
      <c r="AE113" s="138">
        <f>$S$219</f>
        <v>0.13403810838353239</v>
      </c>
      <c r="AF113" s="138">
        <f>$P$219</f>
        <v>0.29594963069652797</v>
      </c>
      <c r="AG113" s="133"/>
      <c r="AH113" s="133"/>
      <c r="AI113" s="138">
        <v>0</v>
      </c>
      <c r="AJ113" s="138">
        <f>$F$219</f>
        <v>0.36962820238752458</v>
      </c>
      <c r="AK113" s="138">
        <f>$E$219</f>
        <v>0.41692537379616368</v>
      </c>
      <c r="AL113" s="138">
        <f>$S$219</f>
        <v>0.13403810838353239</v>
      </c>
      <c r="AM113" s="138">
        <f>$P$219</f>
        <v>0.29594963069652797</v>
      </c>
      <c r="AN113" s="138">
        <f>$U$219</f>
        <v>0</v>
      </c>
      <c r="AO113" s="133"/>
      <c r="AP113" s="133"/>
      <c r="AQ113" s="138">
        <v>0</v>
      </c>
      <c r="AR113" s="138">
        <f>$U$219</f>
        <v>0</v>
      </c>
      <c r="AS113" s="138">
        <f>$E$219</f>
        <v>0.41692537379616368</v>
      </c>
      <c r="AT113" s="138">
        <f>$S$219</f>
        <v>0.13403810838353239</v>
      </c>
      <c r="AU113" s="138">
        <f>$T$219</f>
        <v>0</v>
      </c>
      <c r="AV113" s="138">
        <f>$V$219</f>
        <v>9.0066857826695823E-2</v>
      </c>
      <c r="AW113" s="133"/>
      <c r="AX113" s="133"/>
      <c r="AY113" s="138">
        <v>0</v>
      </c>
      <c r="AZ113" s="138">
        <f>$F$219</f>
        <v>0.36962820238752458</v>
      </c>
      <c r="BA113" s="138">
        <f>$E$219</f>
        <v>0.41692537379616368</v>
      </c>
      <c r="BB113" s="138">
        <f>$S$219</f>
        <v>0.13403810838353239</v>
      </c>
      <c r="BC113" s="138">
        <f>$V$219</f>
        <v>9.0066857826695823E-2</v>
      </c>
      <c r="BD113" s="139">
        <f>$U$219</f>
        <v>0</v>
      </c>
    </row>
    <row r="114" spans="1:56" hidden="1" outlineLevel="1" x14ac:dyDescent="0.2">
      <c r="A114" s="132"/>
      <c r="B114" s="133"/>
      <c r="C114" s="138">
        <v>0</v>
      </c>
      <c r="D114" s="138">
        <f>$F$220</f>
        <v>0.30464558189920393</v>
      </c>
      <c r="E114" s="138">
        <f>$E$220</f>
        <v>0.25526625940759262</v>
      </c>
      <c r="F114" s="138">
        <f>$M$220</f>
        <v>0</v>
      </c>
      <c r="G114" s="138">
        <f>$O$220</f>
        <v>0</v>
      </c>
      <c r="H114" s="138">
        <f>$Q$220</f>
        <v>0</v>
      </c>
      <c r="I114" s="133"/>
      <c r="J114" s="133"/>
      <c r="K114" s="138">
        <v>0</v>
      </c>
      <c r="L114" s="138">
        <f>$F$220</f>
        <v>0.30464558189920393</v>
      </c>
      <c r="M114" s="138">
        <f>$E$220</f>
        <v>0.25526625940759262</v>
      </c>
      <c r="N114" s="138">
        <f>$R$220</f>
        <v>0</v>
      </c>
      <c r="O114" s="138">
        <f>$Q$220</f>
        <v>0</v>
      </c>
      <c r="P114" s="138">
        <f>$O$220</f>
        <v>0</v>
      </c>
      <c r="Q114" s="133"/>
      <c r="R114" s="133"/>
      <c r="S114" s="138">
        <v>0</v>
      </c>
      <c r="T114" s="138">
        <f>$F$220</f>
        <v>0.30464558189920393</v>
      </c>
      <c r="U114" s="138">
        <f>$E$220</f>
        <v>0.25526625940759262</v>
      </c>
      <c r="V114" s="138">
        <f>$R$220</f>
        <v>0</v>
      </c>
      <c r="W114" s="138">
        <f>$S$220</f>
        <v>0</v>
      </c>
      <c r="X114" s="138">
        <f>$O$220</f>
        <v>0</v>
      </c>
      <c r="Y114" s="133"/>
      <c r="Z114" s="133"/>
      <c r="AA114" s="138">
        <v>0</v>
      </c>
      <c r="AB114" s="138">
        <f>$F$220</f>
        <v>0.30464558189920393</v>
      </c>
      <c r="AC114" s="138">
        <f>$E$220</f>
        <v>0.25526625940759262</v>
      </c>
      <c r="AD114" s="138">
        <f>$O$220</f>
        <v>0</v>
      </c>
      <c r="AE114" s="138">
        <f>$S$220</f>
        <v>0</v>
      </c>
      <c r="AF114" s="138">
        <f>$P$220</f>
        <v>0</v>
      </c>
      <c r="AG114" s="133"/>
      <c r="AH114" s="133"/>
      <c r="AI114" s="138">
        <v>0</v>
      </c>
      <c r="AJ114" s="138">
        <f>$F$220</f>
        <v>0.30464558189920393</v>
      </c>
      <c r="AK114" s="138">
        <f>$E$220</f>
        <v>0.25526625940759262</v>
      </c>
      <c r="AL114" s="138">
        <f>$S$220</f>
        <v>0</v>
      </c>
      <c r="AM114" s="138">
        <f>$P$220</f>
        <v>0</v>
      </c>
      <c r="AN114" s="138">
        <f>$U$220</f>
        <v>0</v>
      </c>
      <c r="AO114" s="133"/>
      <c r="AP114" s="133"/>
      <c r="AQ114" s="138">
        <v>0</v>
      </c>
      <c r="AR114" s="138">
        <f>$U$220</f>
        <v>0</v>
      </c>
      <c r="AS114" s="138">
        <f>$E$220</f>
        <v>0.25526625940759262</v>
      </c>
      <c r="AT114" s="138">
        <f>$S$220</f>
        <v>0</v>
      </c>
      <c r="AU114" s="138">
        <f>$T$220</f>
        <v>0</v>
      </c>
      <c r="AV114" s="138">
        <f>$V$220</f>
        <v>9.6502407488873232E-2</v>
      </c>
      <c r="AW114" s="133"/>
      <c r="AX114" s="133"/>
      <c r="AY114" s="138">
        <v>0</v>
      </c>
      <c r="AZ114" s="138">
        <f>$F$220</f>
        <v>0.30464558189920393</v>
      </c>
      <c r="BA114" s="138">
        <f>$E$220</f>
        <v>0.25526625940759262</v>
      </c>
      <c r="BB114" s="138">
        <f>$S$220</f>
        <v>0</v>
      </c>
      <c r="BC114" s="138">
        <f>$V$220</f>
        <v>9.6502407488873232E-2</v>
      </c>
      <c r="BD114" s="139">
        <f>$U$220</f>
        <v>0</v>
      </c>
    </row>
    <row r="115" spans="1:56" hidden="1" outlineLevel="1" x14ac:dyDescent="0.2">
      <c r="A115" s="132"/>
      <c r="B115" s="133"/>
      <c r="C115" s="138">
        <v>0</v>
      </c>
      <c r="D115" s="138">
        <f>$F$221</f>
        <v>5.169745319076114E-2</v>
      </c>
      <c r="E115" s="138">
        <f>$E$221</f>
        <v>2.1658964188213614E-2</v>
      </c>
      <c r="F115" s="138">
        <f>$M$221</f>
        <v>0.26953549681692768</v>
      </c>
      <c r="G115" s="138">
        <f>$O$221</f>
        <v>0.18063535716911364</v>
      </c>
      <c r="H115" s="138">
        <f>$Q$221</f>
        <v>0.17237923257436782</v>
      </c>
      <c r="I115" s="133"/>
      <c r="J115" s="133"/>
      <c r="K115" s="138">
        <v>0</v>
      </c>
      <c r="L115" s="138">
        <f>$F$221</f>
        <v>5.169745319076114E-2</v>
      </c>
      <c r="M115" s="138">
        <f>$E$221</f>
        <v>2.1658964188213614E-2</v>
      </c>
      <c r="N115" s="138">
        <f>$R$221</f>
        <v>0.16378836637767183</v>
      </c>
      <c r="O115" s="138">
        <f>$Q$221</f>
        <v>0.17237923257436782</v>
      </c>
      <c r="P115" s="138">
        <f>$O$221</f>
        <v>0.18063535716911364</v>
      </c>
      <c r="Q115" s="133"/>
      <c r="R115" s="133"/>
      <c r="S115" s="138">
        <v>0</v>
      </c>
      <c r="T115" s="138">
        <f>$F$221</f>
        <v>5.169745319076114E-2</v>
      </c>
      <c r="U115" s="138">
        <f>$E$221</f>
        <v>2.1658964188213614E-2</v>
      </c>
      <c r="V115" s="138">
        <f>$R$221</f>
        <v>0.16378836637767183</v>
      </c>
      <c r="W115" s="138">
        <f>$S$221</f>
        <v>8.1237104617828668E-2</v>
      </c>
      <c r="X115" s="138">
        <f>$O$221</f>
        <v>0.18063535716911364</v>
      </c>
      <c r="Y115" s="133"/>
      <c r="Z115" s="133"/>
      <c r="AA115" s="138">
        <v>0</v>
      </c>
      <c r="AB115" s="138">
        <f>$F$221</f>
        <v>5.169745319076114E-2</v>
      </c>
      <c r="AC115" s="138">
        <f>$E$221</f>
        <v>2.1658964188213614E-2</v>
      </c>
      <c r="AD115" s="138">
        <f>$O$221</f>
        <v>0.18063535716911364</v>
      </c>
      <c r="AE115" s="138">
        <f>$S$221</f>
        <v>8.1237104617828668E-2</v>
      </c>
      <c r="AF115" s="138">
        <f>$P$221</f>
        <v>0.17936757986548366</v>
      </c>
      <c r="AG115" s="133"/>
      <c r="AH115" s="133"/>
      <c r="AI115" s="138">
        <v>0</v>
      </c>
      <c r="AJ115" s="138">
        <f>$F$221</f>
        <v>5.169745319076114E-2</v>
      </c>
      <c r="AK115" s="138">
        <f>$E$221</f>
        <v>2.1658964188213614E-2</v>
      </c>
      <c r="AL115" s="138">
        <f>$S$221</f>
        <v>8.1237104617828668E-2</v>
      </c>
      <c r="AM115" s="138">
        <f>$P$221</f>
        <v>0.17936757986548366</v>
      </c>
      <c r="AN115" s="138">
        <f>$U$221</f>
        <v>0</v>
      </c>
      <c r="AO115" s="133"/>
      <c r="AP115" s="133"/>
      <c r="AQ115" s="138">
        <v>0</v>
      </c>
      <c r="AR115" s="138">
        <f>$U$221</f>
        <v>0</v>
      </c>
      <c r="AS115" s="138">
        <f>$E$221</f>
        <v>2.1658964188213614E-2</v>
      </c>
      <c r="AT115" s="138">
        <f>$S$221</f>
        <v>8.1237104617828668E-2</v>
      </c>
      <c r="AU115" s="138">
        <f>$T$221</f>
        <v>0</v>
      </c>
      <c r="AV115" s="138">
        <f>$V$221</f>
        <v>0</v>
      </c>
      <c r="AW115" s="133"/>
      <c r="AX115" s="133"/>
      <c r="AY115" s="138">
        <v>0</v>
      </c>
      <c r="AZ115" s="138">
        <f>$F$221</f>
        <v>5.169745319076114E-2</v>
      </c>
      <c r="BA115" s="138">
        <f>$E$221</f>
        <v>2.1658964188213614E-2</v>
      </c>
      <c r="BB115" s="138">
        <f>$S$221</f>
        <v>8.1237104617828668E-2</v>
      </c>
      <c r="BC115" s="138">
        <f>$V$221</f>
        <v>0</v>
      </c>
      <c r="BD115" s="139">
        <f>$U$221</f>
        <v>0</v>
      </c>
    </row>
    <row r="116" spans="1:56" hidden="1" outlineLevel="1" x14ac:dyDescent="0.2">
      <c r="A116" s="132"/>
      <c r="B116" s="133"/>
      <c r="C116" s="138">
        <v>0</v>
      </c>
      <c r="D116" s="138">
        <f>$F$222</f>
        <v>0</v>
      </c>
      <c r="E116" s="138">
        <f>$E$222</f>
        <v>0</v>
      </c>
      <c r="F116" s="138">
        <f>$M$222</f>
        <v>0</v>
      </c>
      <c r="G116" s="138">
        <f>$O$222</f>
        <v>8.8657613334625476E-2</v>
      </c>
      <c r="H116" s="138">
        <f>$Q$222</f>
        <v>0</v>
      </c>
      <c r="I116" s="133"/>
      <c r="J116" s="133"/>
      <c r="K116" s="138">
        <v>0</v>
      </c>
      <c r="L116" s="138">
        <f>$F$222</f>
        <v>0</v>
      </c>
      <c r="M116" s="138">
        <f>$E$222</f>
        <v>0</v>
      </c>
      <c r="N116" s="138">
        <f>$R$222</f>
        <v>0</v>
      </c>
      <c r="O116" s="138">
        <f>$Q$222</f>
        <v>0</v>
      </c>
      <c r="P116" s="138">
        <f>$O$222</f>
        <v>8.8657613334625476E-2</v>
      </c>
      <c r="Q116" s="133"/>
      <c r="R116" s="133"/>
      <c r="S116" s="138">
        <v>0</v>
      </c>
      <c r="T116" s="138">
        <f>$F$222</f>
        <v>0</v>
      </c>
      <c r="U116" s="138">
        <f>$E$222</f>
        <v>0</v>
      </c>
      <c r="V116" s="138">
        <f>$R$222</f>
        <v>0</v>
      </c>
      <c r="W116" s="138">
        <f>$S$222</f>
        <v>0</v>
      </c>
      <c r="X116" s="138">
        <f>$O$222</f>
        <v>8.8657613334625476E-2</v>
      </c>
      <c r="Y116" s="133"/>
      <c r="Z116" s="133"/>
      <c r="AA116" s="138">
        <v>0</v>
      </c>
      <c r="AB116" s="138">
        <f>$F$222</f>
        <v>0</v>
      </c>
      <c r="AC116" s="138">
        <f>$E$222</f>
        <v>0</v>
      </c>
      <c r="AD116" s="138">
        <f>$O$222</f>
        <v>8.8657613334625476E-2</v>
      </c>
      <c r="AE116" s="138">
        <f>$S$222</f>
        <v>0</v>
      </c>
      <c r="AF116" s="138">
        <f>$P$222</f>
        <v>0.17607075148187762</v>
      </c>
      <c r="AG116" s="133"/>
      <c r="AH116" s="133"/>
      <c r="AI116" s="138">
        <v>0</v>
      </c>
      <c r="AJ116" s="138">
        <f>$F$222</f>
        <v>0</v>
      </c>
      <c r="AK116" s="138">
        <f>$E$222</f>
        <v>0</v>
      </c>
      <c r="AL116" s="138">
        <f>$S$222</f>
        <v>0</v>
      </c>
      <c r="AM116" s="138">
        <f>$P$222</f>
        <v>0.17607075148187762</v>
      </c>
      <c r="AN116" s="138">
        <f>$U$222</f>
        <v>1</v>
      </c>
      <c r="AO116" s="133"/>
      <c r="AP116" s="133"/>
      <c r="AQ116" s="138">
        <v>0</v>
      </c>
      <c r="AR116" s="138">
        <f>$U$222</f>
        <v>1</v>
      </c>
      <c r="AS116" s="138">
        <f>$E$222</f>
        <v>0</v>
      </c>
      <c r="AT116" s="138">
        <f>$S$222</f>
        <v>0</v>
      </c>
      <c r="AU116" s="138">
        <f>$T$222</f>
        <v>0</v>
      </c>
      <c r="AV116" s="138">
        <f>$V$222</f>
        <v>0.16075173978593996</v>
      </c>
      <c r="AW116" s="133"/>
      <c r="AX116" s="133"/>
      <c r="AY116" s="138">
        <v>0</v>
      </c>
      <c r="AZ116" s="138">
        <f>$F$222</f>
        <v>0</v>
      </c>
      <c r="BA116" s="138">
        <f>$E$222</f>
        <v>0</v>
      </c>
      <c r="BB116" s="138">
        <f>$S$222</f>
        <v>0</v>
      </c>
      <c r="BC116" s="138">
        <f>$V$222</f>
        <v>0.16075173978593996</v>
      </c>
      <c r="BD116" s="139">
        <f>$U$222</f>
        <v>1</v>
      </c>
    </row>
    <row r="117" spans="1:56" hidden="1" outlineLevel="1" x14ac:dyDescent="0.2">
      <c r="A117" s="132"/>
      <c r="B117" s="133"/>
      <c r="C117" s="138">
        <v>0</v>
      </c>
      <c r="D117" s="138">
        <f>$F$223</f>
        <v>0</v>
      </c>
      <c r="E117" s="138">
        <f>$E$223</f>
        <v>0</v>
      </c>
      <c r="F117" s="138">
        <f>$M$223</f>
        <v>0</v>
      </c>
      <c r="G117" s="138">
        <f>$O$223</f>
        <v>0</v>
      </c>
      <c r="H117" s="138">
        <f>$Q$223</f>
        <v>0.1150828284510447</v>
      </c>
      <c r="I117" s="133"/>
      <c r="J117" s="133"/>
      <c r="K117" s="138">
        <v>0</v>
      </c>
      <c r="L117" s="138">
        <f>$F$223</f>
        <v>0</v>
      </c>
      <c r="M117" s="138">
        <f>$E$223</f>
        <v>0</v>
      </c>
      <c r="N117" s="138">
        <f>$R$223</f>
        <v>0.21869488787736116</v>
      </c>
      <c r="O117" s="138">
        <f>$Q$223</f>
        <v>0.1150828284510447</v>
      </c>
      <c r="P117" s="138">
        <f>$O$223</f>
        <v>0</v>
      </c>
      <c r="Q117" s="133"/>
      <c r="R117" s="133"/>
      <c r="S117" s="138">
        <v>0</v>
      </c>
      <c r="T117" s="138">
        <f>$F$223</f>
        <v>0</v>
      </c>
      <c r="U117" s="138">
        <f>$E$223</f>
        <v>0</v>
      </c>
      <c r="V117" s="138">
        <f>$R$223</f>
        <v>0.21869488787736116</v>
      </c>
      <c r="W117" s="138">
        <f>$S$223</f>
        <v>0.32541028179458237</v>
      </c>
      <c r="X117" s="138">
        <f>$O$223</f>
        <v>0</v>
      </c>
      <c r="Y117" s="133"/>
      <c r="Z117" s="133"/>
      <c r="AA117" s="138">
        <v>0</v>
      </c>
      <c r="AB117" s="138">
        <f>$F$223</f>
        <v>0</v>
      </c>
      <c r="AC117" s="138">
        <f>$E$223</f>
        <v>0</v>
      </c>
      <c r="AD117" s="138">
        <f>$O$223</f>
        <v>0</v>
      </c>
      <c r="AE117" s="138">
        <f>$S$223</f>
        <v>0.32541028179458237</v>
      </c>
      <c r="AF117" s="138">
        <f>$P$223</f>
        <v>0</v>
      </c>
      <c r="AG117" s="133"/>
      <c r="AH117" s="133"/>
      <c r="AI117" s="138">
        <v>0</v>
      </c>
      <c r="AJ117" s="138">
        <f>$F$223</f>
        <v>0</v>
      </c>
      <c r="AK117" s="138">
        <f>$E$223</f>
        <v>0</v>
      </c>
      <c r="AL117" s="138">
        <f>$S$223</f>
        <v>0.32541028179458237</v>
      </c>
      <c r="AM117" s="138">
        <f>$P$223</f>
        <v>0</v>
      </c>
      <c r="AN117" s="138">
        <f>$U$223</f>
        <v>0</v>
      </c>
      <c r="AO117" s="133"/>
      <c r="AP117" s="133"/>
      <c r="AQ117" s="138">
        <v>0</v>
      </c>
      <c r="AR117" s="138">
        <f>$U$223</f>
        <v>0</v>
      </c>
      <c r="AS117" s="138">
        <f>$E$223</f>
        <v>0</v>
      </c>
      <c r="AT117" s="138">
        <f>$S$223</f>
        <v>0.32541028179458237</v>
      </c>
      <c r="AU117" s="138">
        <f>$T$223</f>
        <v>0.79072946520505982</v>
      </c>
      <c r="AV117" s="138">
        <f>$V$223</f>
        <v>0.21865931964568422</v>
      </c>
      <c r="AW117" s="133"/>
      <c r="AX117" s="133"/>
      <c r="AY117" s="138">
        <v>0</v>
      </c>
      <c r="AZ117" s="138">
        <f>$F$223</f>
        <v>0</v>
      </c>
      <c r="BA117" s="138">
        <f>$E$223</f>
        <v>0</v>
      </c>
      <c r="BB117" s="138">
        <f>$S$223</f>
        <v>0.32541028179458237</v>
      </c>
      <c r="BC117" s="138">
        <f>$V$223</f>
        <v>0.21865931964568422</v>
      </c>
      <c r="BD117" s="139">
        <f>$U$223</f>
        <v>0</v>
      </c>
    </row>
    <row r="118" spans="1:56" hidden="1" outlineLevel="1" x14ac:dyDescent="0.2">
      <c r="A118" s="132"/>
      <c r="B118" s="133"/>
      <c r="C118" s="138">
        <v>1</v>
      </c>
      <c r="D118" s="138">
        <f>$F$224</f>
        <v>0.27402876252251041</v>
      </c>
      <c r="E118" s="138">
        <f>$E$224</f>
        <v>0.30614940260803009</v>
      </c>
      <c r="F118" s="138">
        <f>$M$224</f>
        <v>0.2857412661164993</v>
      </c>
      <c r="G118" s="138">
        <f>$O$224</f>
        <v>0.3829920457413164</v>
      </c>
      <c r="H118" s="138">
        <f>$Q$224</f>
        <v>0.38071562581487517</v>
      </c>
      <c r="I118" s="133"/>
      <c r="J118" s="133"/>
      <c r="K118" s="138">
        <v>1</v>
      </c>
      <c r="L118" s="138">
        <f>$F$224</f>
        <v>0.27402876252251041</v>
      </c>
      <c r="M118" s="138">
        <f>$E$224</f>
        <v>0.30614940260803009</v>
      </c>
      <c r="N118" s="138">
        <f>$R$224</f>
        <v>0.34727222007197794</v>
      </c>
      <c r="O118" s="138">
        <f>$Q$224</f>
        <v>0.38071562581487517</v>
      </c>
      <c r="P118" s="138">
        <f>$O$224</f>
        <v>0.3829920457413164</v>
      </c>
      <c r="Q118" s="133"/>
      <c r="R118" s="133"/>
      <c r="S118" s="138">
        <v>1</v>
      </c>
      <c r="T118" s="138">
        <f>$F$224</f>
        <v>0.27402876252251041</v>
      </c>
      <c r="U118" s="138">
        <f>$E$224</f>
        <v>0.30614940260803009</v>
      </c>
      <c r="V118" s="138">
        <f>$R$224</f>
        <v>0.34727222007197794</v>
      </c>
      <c r="W118" s="138">
        <f>$S$224</f>
        <v>0.45931450520405653</v>
      </c>
      <c r="X118" s="138">
        <f>$O$224</f>
        <v>0.3829920457413164</v>
      </c>
      <c r="Y118" s="133"/>
      <c r="Z118" s="133"/>
      <c r="AA118" s="138">
        <v>1</v>
      </c>
      <c r="AB118" s="138">
        <f>$F$224</f>
        <v>0.27402876252251041</v>
      </c>
      <c r="AC118" s="138">
        <f>$E$224</f>
        <v>0.30614940260803009</v>
      </c>
      <c r="AD118" s="138">
        <f>$O$224</f>
        <v>0.3829920457413164</v>
      </c>
      <c r="AE118" s="138">
        <f>$S$224</f>
        <v>0.45931450520405653</v>
      </c>
      <c r="AF118" s="138">
        <f>$P$224</f>
        <v>0.34861203795611073</v>
      </c>
      <c r="AG118" s="133"/>
      <c r="AH118" s="133"/>
      <c r="AI118" s="138">
        <v>1</v>
      </c>
      <c r="AJ118" s="138">
        <f>$F$224</f>
        <v>0.27402876252251041</v>
      </c>
      <c r="AK118" s="138">
        <f>$E$224</f>
        <v>0.30614940260803009</v>
      </c>
      <c r="AL118" s="138">
        <f>$S$224</f>
        <v>0.45931450520405653</v>
      </c>
      <c r="AM118" s="138">
        <f>$P$224</f>
        <v>0.34861203795611073</v>
      </c>
      <c r="AN118" s="138">
        <f>$U$224</f>
        <v>0</v>
      </c>
      <c r="AO118" s="133"/>
      <c r="AP118" s="133"/>
      <c r="AQ118" s="138">
        <v>1</v>
      </c>
      <c r="AR118" s="138">
        <f>$U$224</f>
        <v>0</v>
      </c>
      <c r="AS118" s="138">
        <f>$E$224</f>
        <v>0.30614940260803009</v>
      </c>
      <c r="AT118" s="138">
        <f>$S$224</f>
        <v>0.45931450520405653</v>
      </c>
      <c r="AU118" s="138">
        <f>$T$224</f>
        <v>0.20927053479494012</v>
      </c>
      <c r="AV118" s="138">
        <f>$V$224</f>
        <v>0.43401967525280682</v>
      </c>
      <c r="AW118" s="133"/>
      <c r="AX118" s="133"/>
      <c r="AY118" s="138">
        <v>1</v>
      </c>
      <c r="AZ118" s="138">
        <f>$F$224</f>
        <v>0.27402876252251041</v>
      </c>
      <c r="BA118" s="138">
        <f>$E$224</f>
        <v>0.30614940260803009</v>
      </c>
      <c r="BB118" s="138">
        <f>$S$224</f>
        <v>0.45931450520405653</v>
      </c>
      <c r="BC118" s="138">
        <f>$V$224</f>
        <v>0.43401967525280682</v>
      </c>
      <c r="BD118" s="139">
        <f>$U$224</f>
        <v>0</v>
      </c>
    </row>
    <row r="119" spans="1:56" hidden="1" outlineLevel="1" x14ac:dyDescent="0.2">
      <c r="A119" s="132"/>
      <c r="B119" s="133"/>
      <c r="C119" s="140">
        <f t="shared" ref="C119:H119" si="94">SUM(C113:C118)</f>
        <v>1</v>
      </c>
      <c r="D119" s="140">
        <f t="shared" si="94"/>
        <v>1</v>
      </c>
      <c r="E119" s="140">
        <f t="shared" si="94"/>
        <v>1</v>
      </c>
      <c r="F119" s="140">
        <f t="shared" si="94"/>
        <v>0.99999999999999989</v>
      </c>
      <c r="G119" s="140">
        <f t="shared" si="94"/>
        <v>1</v>
      </c>
      <c r="H119" s="140">
        <f t="shared" si="94"/>
        <v>1</v>
      </c>
      <c r="I119" s="133"/>
      <c r="J119" s="133"/>
      <c r="K119" s="140">
        <f t="shared" ref="K119:P119" si="95">SUM(K113:K118)</f>
        <v>1</v>
      </c>
      <c r="L119" s="140">
        <f t="shared" si="95"/>
        <v>1</v>
      </c>
      <c r="M119" s="140">
        <f t="shared" si="95"/>
        <v>1</v>
      </c>
      <c r="N119" s="140">
        <f t="shared" si="95"/>
        <v>0.99999999999999978</v>
      </c>
      <c r="O119" s="140">
        <f t="shared" si="95"/>
        <v>1</v>
      </c>
      <c r="P119" s="140">
        <f t="shared" si="95"/>
        <v>1</v>
      </c>
      <c r="Q119" s="133"/>
      <c r="R119" s="133"/>
      <c r="S119" s="140">
        <f t="shared" ref="S119:X119" si="96">SUM(S113:S118)</f>
        <v>1</v>
      </c>
      <c r="T119" s="140">
        <f t="shared" si="96"/>
        <v>1</v>
      </c>
      <c r="U119" s="140">
        <f t="shared" si="96"/>
        <v>1</v>
      </c>
      <c r="V119" s="140">
        <f t="shared" si="96"/>
        <v>0.99999999999999978</v>
      </c>
      <c r="W119" s="140">
        <f t="shared" si="96"/>
        <v>1</v>
      </c>
      <c r="X119" s="140">
        <f t="shared" si="96"/>
        <v>1</v>
      </c>
      <c r="Y119" s="133"/>
      <c r="Z119" s="133"/>
      <c r="AA119" s="140">
        <f t="shared" ref="AA119:AF119" si="97">SUM(AA113:AA118)</f>
        <v>1</v>
      </c>
      <c r="AB119" s="140">
        <f t="shared" si="97"/>
        <v>1</v>
      </c>
      <c r="AC119" s="140">
        <f t="shared" si="97"/>
        <v>1</v>
      </c>
      <c r="AD119" s="140">
        <f t="shared" si="97"/>
        <v>1</v>
      </c>
      <c r="AE119" s="140">
        <f t="shared" si="97"/>
        <v>1</v>
      </c>
      <c r="AF119" s="140">
        <f t="shared" si="97"/>
        <v>0.99999999999999989</v>
      </c>
      <c r="AG119" s="133"/>
      <c r="AH119" s="133"/>
      <c r="AI119" s="140">
        <f t="shared" ref="AI119:AN119" si="98">SUM(AI113:AI118)</f>
        <v>1</v>
      </c>
      <c r="AJ119" s="140">
        <f t="shared" si="98"/>
        <v>1</v>
      </c>
      <c r="AK119" s="140">
        <f t="shared" si="98"/>
        <v>1</v>
      </c>
      <c r="AL119" s="140">
        <f t="shared" si="98"/>
        <v>1</v>
      </c>
      <c r="AM119" s="140">
        <f t="shared" si="98"/>
        <v>0.99999999999999989</v>
      </c>
      <c r="AN119" s="140">
        <f t="shared" si="98"/>
        <v>1</v>
      </c>
      <c r="AO119" s="133"/>
      <c r="AP119" s="133"/>
      <c r="AQ119" s="140">
        <f t="shared" ref="AQ119:AV119" si="99">SUM(AQ113:AQ118)</f>
        <v>1</v>
      </c>
      <c r="AR119" s="140">
        <f t="shared" si="99"/>
        <v>1</v>
      </c>
      <c r="AS119" s="140">
        <f t="shared" si="99"/>
        <v>1</v>
      </c>
      <c r="AT119" s="140">
        <f t="shared" si="99"/>
        <v>1</v>
      </c>
      <c r="AU119" s="140">
        <f t="shared" si="99"/>
        <v>1</v>
      </c>
      <c r="AV119" s="140">
        <f t="shared" si="99"/>
        <v>1</v>
      </c>
      <c r="AW119" s="133"/>
      <c r="AX119" s="133"/>
      <c r="AY119" s="140">
        <f t="shared" ref="AY119:BD119" si="100">SUM(AY113:AY118)</f>
        <v>1</v>
      </c>
      <c r="AZ119" s="140">
        <f t="shared" si="100"/>
        <v>1</v>
      </c>
      <c r="BA119" s="140">
        <f t="shared" si="100"/>
        <v>1</v>
      </c>
      <c r="BB119" s="140">
        <f t="shared" si="100"/>
        <v>1</v>
      </c>
      <c r="BC119" s="140">
        <f t="shared" si="100"/>
        <v>1</v>
      </c>
      <c r="BD119" s="141">
        <f t="shared" si="100"/>
        <v>1</v>
      </c>
    </row>
    <row r="120" spans="1:56" hidden="1" outlineLevel="1" x14ac:dyDescent="0.2">
      <c r="A120" s="132"/>
      <c r="B120" s="142">
        <f t="array" ref="B120:B125">MMULT(C120:H125,$V$19:$V$24)</f>
        <v>-22.47699297747549</v>
      </c>
      <c r="C120" s="138">
        <f t="array" ref="C120:H125">MINVERSE(C113:H118)</f>
        <v>-0.69605771071174216</v>
      </c>
      <c r="D120" s="138">
        <v>-6.9961126839013732E-2</v>
      </c>
      <c r="E120" s="138">
        <v>8.8343733784897793E-2</v>
      </c>
      <c r="F120" s="138">
        <v>-1.7699591289728693</v>
      </c>
      <c r="G120" s="138">
        <v>-1.4335481097132199</v>
      </c>
      <c r="H120" s="138">
        <v>1</v>
      </c>
      <c r="I120" s="133"/>
      <c r="J120" s="142">
        <f t="array" ref="J120:J125">MMULT(K120:P125,$V$19:$V$24)</f>
        <v>23.309761481416011</v>
      </c>
      <c r="K120" s="138">
        <f t="array" ref="K120:P125">MINVERSE(K113:P118)</f>
        <v>-0.81549956639600596</v>
      </c>
      <c r="L120" s="138">
        <v>0.17528721889335208</v>
      </c>
      <c r="M120" s="138">
        <v>-0.50287971539095899</v>
      </c>
      <c r="N120" s="138">
        <v>-9.6920838874654969E-2</v>
      </c>
      <c r="O120" s="138">
        <v>-0.20358079664566464</v>
      </c>
      <c r="P120" s="138">
        <v>1</v>
      </c>
      <c r="Q120" s="133"/>
      <c r="R120" s="142">
        <f t="array" ref="R120:R125">MMULT(S120:X125,$V$19:$V$24)</f>
        <v>-30.714226475484359</v>
      </c>
      <c r="S120" s="138">
        <f t="array" ref="S120:X125">MINVERSE(S113:X118)</f>
        <v>-0.58897190906378172</v>
      </c>
      <c r="T120" s="138">
        <v>-0.28983895404734172</v>
      </c>
      <c r="U120" s="138">
        <v>0.61840613649428855</v>
      </c>
      <c r="V120" s="138">
        <v>-3.269924492509201</v>
      </c>
      <c r="W120" s="138">
        <v>-1.3232751781968188</v>
      </c>
      <c r="X120" s="138">
        <v>1</v>
      </c>
      <c r="Y120" s="133"/>
      <c r="Z120" s="142">
        <f t="array" ref="Z120:Z125">MMULT(AA120:AF125,$V$19:$V$24)</f>
        <v>3.1171706169295845</v>
      </c>
      <c r="AA120" s="138">
        <f t="array" ref="AA120:AF125">MINVERSE(AA113:AF118)</f>
        <v>-0.81549956639600574</v>
      </c>
      <c r="AB120" s="138">
        <v>0.17528721889335197</v>
      </c>
      <c r="AC120" s="138">
        <v>-0.5028797153909601</v>
      </c>
      <c r="AD120" s="138">
        <v>-9.6920838874654969E-2</v>
      </c>
      <c r="AE120" s="138">
        <v>-0.95004371767976736</v>
      </c>
      <c r="AF120" s="138">
        <v>1</v>
      </c>
      <c r="AG120" s="133"/>
      <c r="AH120" s="142">
        <f t="array" ref="AH120:AH125">MMULT(AI120:AN125,$V$19:$V$24)</f>
        <v>4.4176248059205889</v>
      </c>
      <c r="AI120" s="138">
        <f t="array" ref="AI120:AN125">MINVERSE(AI113:AN118)</f>
        <v>-0.82991496277169252</v>
      </c>
      <c r="AJ120" s="138">
        <v>0.20488615717139602</v>
      </c>
      <c r="AK120" s="138">
        <v>-0.57423426960183854</v>
      </c>
      <c r="AL120" s="138">
        <v>0</v>
      </c>
      <c r="AM120" s="138">
        <v>-0.92629262473777341</v>
      </c>
      <c r="AN120" s="138">
        <v>1</v>
      </c>
      <c r="AO120" s="133"/>
      <c r="AP120" s="142">
        <f t="array" ref="AP120:AP125">MMULT(AQ120:AV125,$V$19:$V$24)</f>
        <v>41.473826474683705</v>
      </c>
      <c r="AQ120" s="138">
        <f t="array" ref="AQ120:AV125">MINVERSE(AQ113:AV118)</f>
        <v>5.514918784869959</v>
      </c>
      <c r="AR120" s="138">
        <v>-9.0449742556153048</v>
      </c>
      <c r="AS120" s="138">
        <v>-13.693278736659227</v>
      </c>
      <c r="AT120" s="138">
        <v>0</v>
      </c>
      <c r="AU120" s="138">
        <v>-0.26465503563936338</v>
      </c>
      <c r="AV120" s="138">
        <v>1</v>
      </c>
      <c r="AW120" s="133"/>
      <c r="AX120" s="142">
        <f t="array" ref="AX120:AX125">MMULT(AY120:BD125,$V$19:$V$24)</f>
        <v>-9.0086823374499758</v>
      </c>
      <c r="AY120" s="138">
        <f t="array" ref="AY120:BD125">MINVERSE(AY113:BD118)</f>
        <v>-0.45305531466444793</v>
      </c>
      <c r="AZ120" s="138">
        <v>-0.56891465781175699</v>
      </c>
      <c r="BA120" s="138">
        <v>1.2911776476254353</v>
      </c>
      <c r="BB120" s="138">
        <v>0</v>
      </c>
      <c r="BC120" s="138">
        <v>-1.5472140545070494</v>
      </c>
      <c r="BD120" s="139">
        <v>1</v>
      </c>
    </row>
    <row r="121" spans="1:56" hidden="1" outlineLevel="1" x14ac:dyDescent="0.2">
      <c r="A121" s="132"/>
      <c r="B121" s="142">
        <v>72.212034001087844</v>
      </c>
      <c r="C121" s="138">
        <v>-5.8617460807146298</v>
      </c>
      <c r="D121" s="138">
        <v>8.7533410136535945</v>
      </c>
      <c r="E121" s="138">
        <v>9.6716563223148277</v>
      </c>
      <c r="F121" s="138">
        <v>3.2842509298558333</v>
      </c>
      <c r="G121" s="138">
        <v>2.4144822718894612</v>
      </c>
      <c r="H121" s="138">
        <v>0</v>
      </c>
      <c r="I121" s="133"/>
      <c r="J121" s="142">
        <v>-100.6370042710582</v>
      </c>
      <c r="K121" s="138">
        <v>-5.4108425360442736</v>
      </c>
      <c r="L121" s="138">
        <v>7.827506867978693</v>
      </c>
      <c r="M121" s="138">
        <v>11.903577012079783</v>
      </c>
      <c r="N121" s="138">
        <v>-3.0316162429438416</v>
      </c>
      <c r="O121" s="138">
        <v>-2.2287528663595038</v>
      </c>
      <c r="P121" s="138">
        <v>0</v>
      </c>
      <c r="Q121" s="133"/>
      <c r="R121" s="142">
        <v>6.8978016500985424</v>
      </c>
      <c r="S121" s="138">
        <v>-5.861746080714628</v>
      </c>
      <c r="T121" s="138">
        <v>8.7533410136535945</v>
      </c>
      <c r="U121" s="138">
        <v>9.671656322314826</v>
      </c>
      <c r="V121" s="138">
        <v>3.2842509298558333</v>
      </c>
      <c r="W121" s="138">
        <v>-1.2014483932275054E-15</v>
      </c>
      <c r="X121" s="138">
        <v>0</v>
      </c>
      <c r="Y121" s="133"/>
      <c r="Z121" s="142">
        <v>-60.44363051660325</v>
      </c>
      <c r="AA121" s="138">
        <v>-5.4108425360442727</v>
      </c>
      <c r="AB121" s="138">
        <v>7.827506867978693</v>
      </c>
      <c r="AC121" s="138">
        <v>11.90357701207979</v>
      </c>
      <c r="AD121" s="138">
        <v>-3.0316162429438438</v>
      </c>
      <c r="AE121" s="138">
        <v>-0.7429176221198357</v>
      </c>
      <c r="AF121" s="138">
        <v>0</v>
      </c>
      <c r="AG121" s="133"/>
      <c r="AH121" s="142">
        <v>-19.766330481590092</v>
      </c>
      <c r="AI121" s="138">
        <v>-5.8617460807146298</v>
      </c>
      <c r="AJ121" s="138">
        <v>8.7533410136535945</v>
      </c>
      <c r="AK121" s="138">
        <v>9.671656322314826</v>
      </c>
      <c r="AL121" s="138">
        <v>0</v>
      </c>
      <c r="AM121" s="138">
        <v>4.5054314746031452E-16</v>
      </c>
      <c r="AN121" s="138">
        <v>0</v>
      </c>
      <c r="AO121" s="133"/>
      <c r="AP121" s="142">
        <v>18.149653464599531</v>
      </c>
      <c r="AQ121" s="138">
        <v>2.974674289464204</v>
      </c>
      <c r="AR121" s="138">
        <v>-4.4420788791747601</v>
      </c>
      <c r="AS121" s="138">
        <v>-4.9080985430567079</v>
      </c>
      <c r="AT121" s="138">
        <v>1</v>
      </c>
      <c r="AU121" s="138">
        <v>1.3622710024076856E-16</v>
      </c>
      <c r="AV121" s="138">
        <v>0</v>
      </c>
      <c r="AW121" s="133"/>
      <c r="AX121" s="142">
        <v>-43.862712967156327</v>
      </c>
      <c r="AY121" s="138">
        <v>-5.1853907637090932</v>
      </c>
      <c r="AZ121" s="138">
        <v>7.3645897951412449</v>
      </c>
      <c r="BA121" s="138">
        <v>13.019537356962275</v>
      </c>
      <c r="BB121" s="138">
        <v>0</v>
      </c>
      <c r="BC121" s="138">
        <v>-1.1143764331797537</v>
      </c>
      <c r="BD121" s="139">
        <v>0</v>
      </c>
    </row>
    <row r="122" spans="1:56" hidden="1" outlineLevel="1" x14ac:dyDescent="0.2">
      <c r="A122" s="132"/>
      <c r="B122" s="142">
        <v>-62.45536267661565</v>
      </c>
      <c r="C122" s="138">
        <v>6.9956564171424951</v>
      </c>
      <c r="D122" s="138">
        <v>-6.529130291385048</v>
      </c>
      <c r="E122" s="138">
        <v>-11.542564908807829</v>
      </c>
      <c r="F122" s="138">
        <v>-3.9195643715346908</v>
      </c>
      <c r="G122" s="138">
        <v>-2.8815455611412406</v>
      </c>
      <c r="H122" s="138">
        <v>0</v>
      </c>
      <c r="I122" s="133"/>
      <c r="J122" s="142">
        <v>143.83001153359405</v>
      </c>
      <c r="K122" s="138">
        <v>6.4575290004392274</v>
      </c>
      <c r="L122" s="138">
        <v>-5.4242005497660406</v>
      </c>
      <c r="M122" s="138">
        <v>-14.206233733917324</v>
      </c>
      <c r="N122" s="138">
        <v>3.6180594198781688</v>
      </c>
      <c r="O122" s="138">
        <v>2.6598882102842221</v>
      </c>
      <c r="P122" s="138">
        <v>0</v>
      </c>
      <c r="Q122" s="133"/>
      <c r="R122" s="142">
        <v>15.49341271988361</v>
      </c>
      <c r="S122" s="138">
        <v>6.9956564171424942</v>
      </c>
      <c r="T122" s="138">
        <v>-6.529130291385048</v>
      </c>
      <c r="U122" s="138">
        <v>-11.542564908807831</v>
      </c>
      <c r="V122" s="138">
        <v>-3.9195643715346908</v>
      </c>
      <c r="W122" s="138">
        <v>1.2564570685806941E-15</v>
      </c>
      <c r="X122" s="138">
        <v>0</v>
      </c>
      <c r="Y122" s="133"/>
      <c r="Z122" s="142">
        <v>95.86153436651766</v>
      </c>
      <c r="AA122" s="138">
        <v>6.4575290004392265</v>
      </c>
      <c r="AB122" s="138">
        <v>-5.4242005497660388</v>
      </c>
      <c r="AC122" s="138">
        <v>-14.206233733917331</v>
      </c>
      <c r="AD122" s="138">
        <v>3.6180594198781741</v>
      </c>
      <c r="AE122" s="138">
        <v>0.88662940342807572</v>
      </c>
      <c r="AF122" s="138">
        <v>0</v>
      </c>
      <c r="AG122" s="133"/>
      <c r="AH122" s="142">
        <v>47.31551904896601</v>
      </c>
      <c r="AI122" s="138">
        <v>6.9956564171424951</v>
      </c>
      <c r="AJ122" s="138">
        <v>-6.529130291385048</v>
      </c>
      <c r="AK122" s="138">
        <v>-11.542564908807831</v>
      </c>
      <c r="AL122" s="138">
        <v>0</v>
      </c>
      <c r="AM122" s="138">
        <v>-6.2822853429034706E-16</v>
      </c>
      <c r="AN122" s="138">
        <v>0</v>
      </c>
      <c r="AO122" s="133"/>
      <c r="AP122" s="142">
        <v>47.315519048966017</v>
      </c>
      <c r="AQ122" s="138">
        <v>6.9956564171424951</v>
      </c>
      <c r="AR122" s="138">
        <v>-6.5291302913850497</v>
      </c>
      <c r="AS122" s="138">
        <v>-11.542564908807833</v>
      </c>
      <c r="AT122" s="138">
        <v>0</v>
      </c>
      <c r="AU122" s="138">
        <v>2.1937084995328627E-16</v>
      </c>
      <c r="AV122" s="138">
        <v>0</v>
      </c>
      <c r="AW122" s="133"/>
      <c r="AX122" s="142">
        <v>47.315519048966031</v>
      </c>
      <c r="AY122" s="138">
        <v>6.9956564171424942</v>
      </c>
      <c r="AZ122" s="138">
        <v>-6.529130291385048</v>
      </c>
      <c r="BA122" s="138">
        <v>-11.542564908807835</v>
      </c>
      <c r="BB122" s="138">
        <v>0</v>
      </c>
      <c r="BC122" s="138">
        <v>7.8528566786293378E-16</v>
      </c>
      <c r="BD122" s="139">
        <v>0</v>
      </c>
    </row>
    <row r="123" spans="1:56" hidden="1" outlineLevel="1" x14ac:dyDescent="0.2">
      <c r="A123" s="132"/>
      <c r="B123" s="142">
        <v>-215.49316735404304</v>
      </c>
      <c r="C123" s="138">
        <v>0.5621473742838764</v>
      </c>
      <c r="D123" s="138">
        <v>-1.1542495954295322</v>
      </c>
      <c r="E123" s="138">
        <v>2.7825648527081044</v>
      </c>
      <c r="F123" s="138">
        <v>-7.8740745986166738</v>
      </c>
      <c r="G123" s="138">
        <v>-5.7887822617529601</v>
      </c>
      <c r="H123" s="138">
        <v>0</v>
      </c>
      <c r="I123" s="133"/>
      <c r="J123" s="142">
        <v>327.34394741581059</v>
      </c>
      <c r="K123" s="138">
        <v>-0.85392749471815099</v>
      </c>
      <c r="L123" s="138">
        <v>1.753357767720966</v>
      </c>
      <c r="M123" s="138">
        <v>-4.2268428925613231</v>
      </c>
      <c r="N123" s="138">
        <v>11.961078362744605</v>
      </c>
      <c r="O123" s="138">
        <v>8.7934242164605969</v>
      </c>
      <c r="P123" s="138">
        <v>0</v>
      </c>
      <c r="Q123" s="133"/>
      <c r="R123" s="142">
        <v>-207.23975083670476</v>
      </c>
      <c r="S123" s="138">
        <v>1.3876321789169965</v>
      </c>
      <c r="T123" s="138">
        <v>-2.8492063725465719</v>
      </c>
      <c r="U123" s="138">
        <v>6.8686197004121556</v>
      </c>
      <c r="V123" s="138">
        <v>-19.436752339459996</v>
      </c>
      <c r="W123" s="138">
        <v>-2.2862902962797569</v>
      </c>
      <c r="X123" s="138">
        <v>0</v>
      </c>
      <c r="Y123" s="133"/>
      <c r="Z123" s="142">
        <v>-139.7010760756784</v>
      </c>
      <c r="AA123" s="138">
        <v>1.5485715704475482</v>
      </c>
      <c r="AB123" s="138">
        <v>-3.1796610469981976</v>
      </c>
      <c r="AC123" s="138">
        <v>7.6652511795854386</v>
      </c>
      <c r="AD123" s="138">
        <v>-10.411705079324678</v>
      </c>
      <c r="AE123" s="138">
        <v>-2.5514572293733995</v>
      </c>
      <c r="AF123" s="138">
        <v>0</v>
      </c>
      <c r="AG123" s="133"/>
      <c r="AH123" s="142">
        <v>83.128995932105909</v>
      </c>
      <c r="AI123" s="138">
        <v>0</v>
      </c>
      <c r="AJ123" s="138">
        <v>0</v>
      </c>
      <c r="AK123" s="138">
        <v>0</v>
      </c>
      <c r="AL123" s="138">
        <v>0</v>
      </c>
      <c r="AM123" s="138">
        <v>3.07304364965105</v>
      </c>
      <c r="AN123" s="138">
        <v>0</v>
      </c>
      <c r="AO123" s="133"/>
      <c r="AP123" s="142">
        <v>4.1011190439646805</v>
      </c>
      <c r="AQ123" s="138">
        <v>-1.8651412125621598</v>
      </c>
      <c r="AR123" s="138">
        <v>1.7407587312048776</v>
      </c>
      <c r="AS123" s="138">
        <v>15.387057501378125</v>
      </c>
      <c r="AT123" s="138">
        <v>0</v>
      </c>
      <c r="AU123" s="138">
        <v>-1.1291724579543618E-16</v>
      </c>
      <c r="AV123" s="138">
        <v>0</v>
      </c>
      <c r="AW123" s="133"/>
      <c r="AX123" s="142">
        <v>32.014355995318297</v>
      </c>
      <c r="AY123" s="138">
        <v>1.4347240096632004</v>
      </c>
      <c r="AZ123" s="138">
        <v>-2.9458993912697955</v>
      </c>
      <c r="BA123" s="138">
        <v>7.1017188467899066</v>
      </c>
      <c r="BB123" s="138">
        <v>0</v>
      </c>
      <c r="BC123" s="138">
        <v>0.70916391915024179</v>
      </c>
      <c r="BD123" s="139">
        <v>0</v>
      </c>
    </row>
    <row r="124" spans="1:56" hidden="1" outlineLevel="1" x14ac:dyDescent="0.2">
      <c r="A124" s="132"/>
      <c r="B124" s="142">
        <v>91.574611594541878</v>
      </c>
      <c r="C124" s="138">
        <v>0</v>
      </c>
      <c r="D124" s="138">
        <v>0</v>
      </c>
      <c r="E124" s="138">
        <v>0</v>
      </c>
      <c r="F124" s="138">
        <v>11.279347169268398</v>
      </c>
      <c r="G124" s="138">
        <v>0</v>
      </c>
      <c r="H124" s="138">
        <v>0</v>
      </c>
      <c r="I124" s="133"/>
      <c r="J124" s="142">
        <v>-387.00315664219261</v>
      </c>
      <c r="K124" s="138">
        <v>1.622740596719203</v>
      </c>
      <c r="L124" s="138">
        <v>-3.3319513048269713</v>
      </c>
      <c r="M124" s="138">
        <v>8.0323793297898209</v>
      </c>
      <c r="N124" s="138">
        <v>-22.729947870072671</v>
      </c>
      <c r="O124" s="138">
        <v>-8.0209787637396488</v>
      </c>
      <c r="P124" s="138">
        <v>0</v>
      </c>
      <c r="Q124" s="133"/>
      <c r="R124" s="142">
        <v>222.40632245977667</v>
      </c>
      <c r="S124" s="138">
        <v>-0.93257060628108046</v>
      </c>
      <c r="T124" s="138">
        <v>1.9148346043253675</v>
      </c>
      <c r="U124" s="138">
        <v>-4.6161172504134402</v>
      </c>
      <c r="V124" s="138">
        <v>13.062643104379655</v>
      </c>
      <c r="W124" s="138">
        <v>4.6095654744765753</v>
      </c>
      <c r="X124" s="138">
        <v>0</v>
      </c>
      <c r="Y124" s="133"/>
      <c r="Z124" s="142">
        <v>83.128995932105909</v>
      </c>
      <c r="AA124" s="138">
        <v>0</v>
      </c>
      <c r="AB124" s="138">
        <v>0</v>
      </c>
      <c r="AC124" s="138">
        <v>0</v>
      </c>
      <c r="AD124" s="138">
        <v>0</v>
      </c>
      <c r="AE124" s="138">
        <v>3.07304364965105</v>
      </c>
      <c r="AF124" s="138">
        <v>0</v>
      </c>
      <c r="AG124" s="133"/>
      <c r="AH124" s="142">
        <v>-30.095332510535105</v>
      </c>
      <c r="AI124" s="138">
        <v>0.84473834081703691</v>
      </c>
      <c r="AJ124" s="138">
        <v>-1.7344898023832065</v>
      </c>
      <c r="AK124" s="138">
        <v>4.1813576375533481</v>
      </c>
      <c r="AL124" s="138">
        <v>0</v>
      </c>
      <c r="AM124" s="138">
        <v>-1.3918076424350332</v>
      </c>
      <c r="AN124" s="138">
        <v>0</v>
      </c>
      <c r="AO124" s="133"/>
      <c r="AP124" s="142">
        <v>49.777794270502653</v>
      </c>
      <c r="AQ124" s="138">
        <v>5.8846636969616988</v>
      </c>
      <c r="AR124" s="138">
        <v>-8.3577373789825309</v>
      </c>
      <c r="AS124" s="138">
        <v>-14.775279690001534</v>
      </c>
      <c r="AT124" s="138">
        <v>0</v>
      </c>
      <c r="AU124" s="138">
        <v>1.264655035639364</v>
      </c>
      <c r="AV124" s="138">
        <v>0</v>
      </c>
      <c r="AW124" s="133"/>
      <c r="AX124" s="142">
        <v>76.069153661555191</v>
      </c>
      <c r="AY124" s="138">
        <v>-2.1351659972164834</v>
      </c>
      <c r="AZ124" s="138">
        <v>4.3841074444251964</v>
      </c>
      <c r="BA124" s="138">
        <v>-10.568826130550949</v>
      </c>
      <c r="BB124" s="138">
        <v>0</v>
      </c>
      <c r="BC124" s="138">
        <v>3.5179418397406144</v>
      </c>
      <c r="BD124" s="139">
        <v>0</v>
      </c>
    </row>
    <row r="125" spans="1:56" hidden="1" outlineLevel="1" x14ac:dyDescent="0.2">
      <c r="A125" s="132"/>
      <c r="B125" s="142">
        <v>235.05704852461599</v>
      </c>
      <c r="C125" s="138">
        <v>0</v>
      </c>
      <c r="D125" s="138">
        <v>0</v>
      </c>
      <c r="E125" s="138">
        <v>0</v>
      </c>
      <c r="F125" s="138">
        <v>0</v>
      </c>
      <c r="G125" s="138">
        <v>8.6893936607179576</v>
      </c>
      <c r="H125" s="138">
        <v>0</v>
      </c>
      <c r="I125" s="133"/>
      <c r="J125" s="142">
        <v>91.574611594541878</v>
      </c>
      <c r="K125" s="138">
        <v>0</v>
      </c>
      <c r="L125" s="138">
        <v>0</v>
      </c>
      <c r="M125" s="138">
        <v>0</v>
      </c>
      <c r="N125" s="138">
        <v>11.279347169268398</v>
      </c>
      <c r="O125" s="138">
        <v>0</v>
      </c>
      <c r="P125" s="138">
        <v>0</v>
      </c>
      <c r="Q125" s="133"/>
      <c r="R125" s="142">
        <v>91.574611594541878</v>
      </c>
      <c r="S125" s="138">
        <v>0</v>
      </c>
      <c r="T125" s="138">
        <v>0</v>
      </c>
      <c r="U125" s="138">
        <v>0</v>
      </c>
      <c r="V125" s="138">
        <v>11.279347169268398</v>
      </c>
      <c r="W125" s="138">
        <v>0</v>
      </c>
      <c r="X125" s="138">
        <v>0</v>
      </c>
      <c r="Y125" s="133"/>
      <c r="Z125" s="142">
        <v>116.45517678884015</v>
      </c>
      <c r="AA125" s="138">
        <v>-0.77975846844649577</v>
      </c>
      <c r="AB125" s="138">
        <v>1.6010675098921912</v>
      </c>
      <c r="AC125" s="138">
        <v>-3.8597147423569376</v>
      </c>
      <c r="AD125" s="138">
        <v>10.922182741265004</v>
      </c>
      <c r="AE125" s="138">
        <v>1.2847455160938772</v>
      </c>
      <c r="AF125" s="138">
        <v>0</v>
      </c>
      <c r="AG125" s="133"/>
      <c r="AH125" s="142">
        <v>13.417694317244305</v>
      </c>
      <c r="AI125" s="138">
        <v>-0.14873371447321013</v>
      </c>
      <c r="AJ125" s="138">
        <v>0.30539292294326459</v>
      </c>
      <c r="AK125" s="138">
        <v>-0.73621478145850638</v>
      </c>
      <c r="AL125" s="138">
        <v>1</v>
      </c>
      <c r="AM125" s="138">
        <v>0.24505661752175673</v>
      </c>
      <c r="AN125" s="138">
        <v>0</v>
      </c>
      <c r="AO125" s="133"/>
      <c r="AP125" s="142">
        <v>-62.399741190604992</v>
      </c>
      <c r="AQ125" s="138">
        <v>-18.504771975876196</v>
      </c>
      <c r="AR125" s="138">
        <v>27.633162073952764</v>
      </c>
      <c r="AS125" s="138">
        <v>30.532164377147176</v>
      </c>
      <c r="AT125" s="138">
        <v>0</v>
      </c>
      <c r="AU125" s="138">
        <v>-8.474377970787199E-16</v>
      </c>
      <c r="AV125" s="138">
        <v>0</v>
      </c>
      <c r="AW125" s="133"/>
      <c r="AX125" s="142">
        <v>-4.1094622891215984</v>
      </c>
      <c r="AY125" s="138">
        <v>0.34323164878433116</v>
      </c>
      <c r="AZ125" s="138">
        <v>-0.7047528990998414</v>
      </c>
      <c r="BA125" s="138">
        <v>1.6989571879811689</v>
      </c>
      <c r="BB125" s="138">
        <v>1</v>
      </c>
      <c r="BC125" s="138">
        <v>-0.56551527120405409</v>
      </c>
      <c r="BD125" s="139">
        <v>0</v>
      </c>
    </row>
    <row r="126" spans="1:56" hidden="1" outlineLevel="1" x14ac:dyDescent="0.2">
      <c r="A126" s="132"/>
      <c r="B126" s="143">
        <f>SUM(B120:B125)</f>
        <v>98.418171112111509</v>
      </c>
      <c r="C126" s="133"/>
      <c r="D126" s="133"/>
      <c r="E126" s="133"/>
      <c r="F126" s="133"/>
      <c r="G126" s="133"/>
      <c r="H126" s="133"/>
      <c r="I126" s="133"/>
      <c r="J126" s="143">
        <f>SUM(J120:J125)</f>
        <v>98.418171112111693</v>
      </c>
      <c r="K126" s="133"/>
      <c r="L126" s="133"/>
      <c r="M126" s="133"/>
      <c r="N126" s="133"/>
      <c r="O126" s="133"/>
      <c r="P126" s="133"/>
      <c r="Q126" s="133"/>
      <c r="R126" s="143">
        <f>SUM(R120:R125)</f>
        <v>98.41817111211158</v>
      </c>
      <c r="S126" s="133"/>
      <c r="T126" s="133"/>
      <c r="U126" s="133"/>
      <c r="V126" s="133"/>
      <c r="W126" s="133"/>
      <c r="X126" s="133"/>
      <c r="Y126" s="133"/>
      <c r="Z126" s="143">
        <f>SUM(Z120:Z125)</f>
        <v>98.418171112111651</v>
      </c>
      <c r="AA126" s="133"/>
      <c r="AB126" s="133"/>
      <c r="AC126" s="133"/>
      <c r="AD126" s="133"/>
      <c r="AE126" s="133"/>
      <c r="AF126" s="133"/>
      <c r="AG126" s="133"/>
      <c r="AH126" s="143">
        <f>SUM(AH120:AH125)</f>
        <v>98.418171112111622</v>
      </c>
      <c r="AI126" s="133"/>
      <c r="AJ126" s="133"/>
      <c r="AK126" s="133"/>
      <c r="AL126" s="133"/>
      <c r="AM126" s="133"/>
      <c r="AN126" s="133"/>
      <c r="AO126" s="133"/>
      <c r="AP126" s="143">
        <f>SUM(AP120:AP125)</f>
        <v>98.418171112111594</v>
      </c>
      <c r="AQ126" s="133"/>
      <c r="AR126" s="133"/>
      <c r="AS126" s="133"/>
      <c r="AT126" s="133"/>
      <c r="AU126" s="133"/>
      <c r="AV126" s="133"/>
      <c r="AW126" s="133"/>
      <c r="AX126" s="143">
        <f>SUM(AX120:AX125)</f>
        <v>98.418171112111622</v>
      </c>
      <c r="AY126" s="133"/>
      <c r="AZ126" s="133"/>
      <c r="BA126" s="133"/>
      <c r="BB126" s="133"/>
      <c r="BC126" s="133"/>
      <c r="BD126" s="134"/>
    </row>
    <row r="127" spans="1:56" hidden="1" outlineLevel="1" x14ac:dyDescent="0.2">
      <c r="A127" s="132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L127" s="133"/>
      <c r="M127" s="133"/>
      <c r="N127" s="133"/>
      <c r="O127" s="133"/>
      <c r="P127" s="133"/>
      <c r="Q127" s="133"/>
      <c r="R127" s="133"/>
      <c r="S127" s="133"/>
      <c r="T127" s="133"/>
      <c r="U127" s="133"/>
      <c r="V127" s="133"/>
      <c r="W127" s="133"/>
      <c r="X127" s="133"/>
      <c r="Y127" s="133"/>
      <c r="Z127" s="133"/>
      <c r="AA127" s="133"/>
      <c r="AB127" s="133"/>
      <c r="AC127" s="133"/>
      <c r="AD127" s="133"/>
      <c r="AE127" s="133"/>
      <c r="AF127" s="133"/>
      <c r="AG127" s="133"/>
      <c r="AH127" s="133"/>
      <c r="AI127" s="133"/>
      <c r="AJ127" s="133"/>
      <c r="AK127" s="133"/>
      <c r="AL127" s="133"/>
      <c r="AM127" s="133"/>
      <c r="AN127" s="133"/>
      <c r="AO127" s="133"/>
      <c r="AP127" s="133"/>
      <c r="AQ127" s="133"/>
      <c r="AR127" s="133"/>
      <c r="AS127" s="133"/>
      <c r="AT127" s="133"/>
      <c r="AU127" s="133"/>
      <c r="AV127" s="133"/>
      <c r="AW127" s="133"/>
      <c r="AX127" s="133"/>
      <c r="AY127" s="133"/>
      <c r="AZ127" s="133"/>
      <c r="BA127" s="133"/>
      <c r="BB127" s="133"/>
      <c r="BC127" s="133"/>
      <c r="BD127" s="134"/>
    </row>
    <row r="128" spans="1:56" hidden="1" outlineLevel="1" x14ac:dyDescent="0.2">
      <c r="A128" s="132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L128" s="133"/>
      <c r="M128" s="133"/>
      <c r="N128" s="133"/>
      <c r="O128" s="133"/>
      <c r="P128" s="133"/>
      <c r="Q128" s="133"/>
      <c r="R128" s="133"/>
      <c r="S128" s="133"/>
      <c r="T128" s="133"/>
      <c r="U128" s="133"/>
      <c r="V128" s="133"/>
      <c r="W128" s="133"/>
      <c r="X128" s="133"/>
      <c r="Y128" s="133"/>
      <c r="Z128" s="133"/>
      <c r="AA128" s="133"/>
      <c r="AB128" s="133"/>
      <c r="AC128" s="133"/>
      <c r="AD128" s="133"/>
      <c r="AE128" s="133"/>
      <c r="AF128" s="133"/>
      <c r="AG128" s="133"/>
      <c r="AH128" s="133"/>
      <c r="AI128" s="133"/>
      <c r="AJ128" s="133"/>
      <c r="AK128" s="133"/>
      <c r="AL128" s="133"/>
      <c r="AM128" s="133"/>
      <c r="AN128" s="133"/>
      <c r="AO128" s="133"/>
      <c r="AP128" s="133"/>
      <c r="AQ128" s="133"/>
      <c r="AR128" s="133"/>
      <c r="AS128" s="133"/>
      <c r="AT128" s="133"/>
      <c r="AU128" s="133"/>
      <c r="AV128" s="133"/>
      <c r="AW128" s="133"/>
      <c r="AX128" s="133"/>
      <c r="AY128" s="133"/>
      <c r="AZ128" s="133"/>
      <c r="BA128" s="133"/>
      <c r="BB128" s="133"/>
      <c r="BC128" s="133"/>
      <c r="BD128" s="134"/>
    </row>
    <row r="129" spans="1:56" hidden="1" outlineLevel="1" x14ac:dyDescent="0.2">
      <c r="A129" s="135" t="s">
        <v>62</v>
      </c>
      <c r="B129" s="136">
        <v>21</v>
      </c>
      <c r="C129" s="136" t="s">
        <v>59</v>
      </c>
      <c r="D129" s="136" t="str">
        <f>$F$218</f>
        <v>C1.3A0.1SH3</v>
      </c>
      <c r="E129" s="136" t="str">
        <f>$I$218</f>
        <v>strätlingite</v>
      </c>
      <c r="F129" s="136" t="str">
        <f>$M$218</f>
        <v>Hydrogarnet</v>
      </c>
      <c r="G129" s="136" t="str">
        <f>$O$218</f>
        <v>Hemicarbonate</v>
      </c>
      <c r="H129" s="136" t="str">
        <f>$Q$218</f>
        <v>Hemisulphate</v>
      </c>
      <c r="I129" s="133"/>
      <c r="J129" s="136">
        <v>22</v>
      </c>
      <c r="K129" s="136" t="s">
        <v>59</v>
      </c>
      <c r="L129" s="136" t="str">
        <f>$F$218</f>
        <v>C1.3A0.1SH3</v>
      </c>
      <c r="M129" s="136" t="str">
        <f>$I$218</f>
        <v>strätlingite</v>
      </c>
      <c r="N129" s="136" t="str">
        <f>$R$218</f>
        <v>monosulphate</v>
      </c>
      <c r="O129" s="136" t="str">
        <f>$Q$218</f>
        <v>Hemisulphate</v>
      </c>
      <c r="P129" s="136" t="str">
        <f>$O$218</f>
        <v>Hemicarbonate</v>
      </c>
      <c r="Q129" s="133"/>
      <c r="R129" s="136">
        <v>23</v>
      </c>
      <c r="S129" s="136" t="s">
        <v>59</v>
      </c>
      <c r="T129" s="136" t="str">
        <f>$F$218</f>
        <v>C1.3A0.1SH3</v>
      </c>
      <c r="U129" s="136" t="str">
        <f>$I$218</f>
        <v>strätlingite</v>
      </c>
      <c r="V129" s="136" t="str">
        <f>$R$218</f>
        <v>monosulphate</v>
      </c>
      <c r="W129" s="136" t="str">
        <f>$S$218</f>
        <v>ettringite</v>
      </c>
      <c r="X129" s="136" t="str">
        <f>$O$218</f>
        <v>Hemicarbonate</v>
      </c>
      <c r="Y129" s="133"/>
      <c r="Z129" s="136">
        <v>24</v>
      </c>
      <c r="AA129" s="136" t="s">
        <v>59</v>
      </c>
      <c r="AB129" s="136" t="str">
        <f>$F$218</f>
        <v>C1.3A0.1SH3</v>
      </c>
      <c r="AC129" s="136" t="str">
        <f>$I$218</f>
        <v>strätlingite</v>
      </c>
      <c r="AD129" s="136" t="str">
        <f>$O$218</f>
        <v>Hemicarbonate</v>
      </c>
      <c r="AE129" s="136" t="str">
        <f>$S$218</f>
        <v>ettringite</v>
      </c>
      <c r="AF129" s="136" t="str">
        <f>$P$218</f>
        <v>monocarbonate</v>
      </c>
      <c r="AG129" s="133"/>
      <c r="AH129" s="136">
        <v>25</v>
      </c>
      <c r="AI129" s="136" t="s">
        <v>59</v>
      </c>
      <c r="AJ129" s="136" t="str">
        <f>$F$218</f>
        <v>C1.3A0.1SH3</v>
      </c>
      <c r="AK129" s="136" t="str">
        <f>$I$218</f>
        <v>strätlingite</v>
      </c>
      <c r="AL129" s="136" t="str">
        <f>$S$218</f>
        <v>ettringite</v>
      </c>
      <c r="AM129" s="136" t="str">
        <f>$P$218</f>
        <v>monocarbonate</v>
      </c>
      <c r="AN129" s="136" t="str">
        <f>$U$218</f>
        <v>calcite</v>
      </c>
      <c r="AO129" s="133"/>
      <c r="AP129" s="136">
        <v>26</v>
      </c>
      <c r="AQ129" s="136" t="s">
        <v>59</v>
      </c>
      <c r="AR129" s="136" t="str">
        <f>$U$218</f>
        <v>calcite</v>
      </c>
      <c r="AS129" s="136" t="str">
        <f>$I$218</f>
        <v>strätlingite</v>
      </c>
      <c r="AT129" s="136" t="str">
        <f>$S$218</f>
        <v>ettringite</v>
      </c>
      <c r="AU129" s="136" t="str">
        <f>$T$218</f>
        <v>gypsum</v>
      </c>
      <c r="AV129" s="136" t="str">
        <f>$V$218</f>
        <v>thaumasite</v>
      </c>
      <c r="AW129" s="133"/>
      <c r="AX129" s="136">
        <v>27</v>
      </c>
      <c r="AY129" s="136" t="s">
        <v>59</v>
      </c>
      <c r="AZ129" s="136" t="str">
        <f>$F$218</f>
        <v>C1.3A0.1SH3</v>
      </c>
      <c r="BA129" s="136" t="str">
        <f>$I$218</f>
        <v>strätlingite</v>
      </c>
      <c r="BB129" s="136" t="str">
        <f>$S$218</f>
        <v>ettringite</v>
      </c>
      <c r="BC129" s="136" t="str">
        <f>$V$218</f>
        <v>thaumasite</v>
      </c>
      <c r="BD129" s="137" t="str">
        <f>$U$218</f>
        <v>calcite</v>
      </c>
    </row>
    <row r="130" spans="1:56" hidden="1" outlineLevel="1" x14ac:dyDescent="0.2">
      <c r="A130" s="132"/>
      <c r="B130" s="133"/>
      <c r="C130" s="138">
        <v>0</v>
      </c>
      <c r="D130" s="138">
        <f>$F$219</f>
        <v>0.36962820238752458</v>
      </c>
      <c r="E130" s="138">
        <f>$I$219</f>
        <v>0.26810599086468712</v>
      </c>
      <c r="F130" s="138">
        <f>$M$219</f>
        <v>0.44472323706657291</v>
      </c>
      <c r="G130" s="138">
        <f>$O$219</f>
        <v>0.34771498375494458</v>
      </c>
      <c r="H130" s="138">
        <f>$Q$219</f>
        <v>0.33182231315971239</v>
      </c>
      <c r="I130" s="133"/>
      <c r="J130" s="133"/>
      <c r="K130" s="138">
        <v>0</v>
      </c>
      <c r="L130" s="138">
        <f>$F$219</f>
        <v>0.36962820238752458</v>
      </c>
      <c r="M130" s="138">
        <f>$I$219</f>
        <v>0.26810599086468712</v>
      </c>
      <c r="N130" s="138">
        <f>$R$219</f>
        <v>0.27024452567298896</v>
      </c>
      <c r="O130" s="138">
        <f>$Q$219</f>
        <v>0.33182231315971239</v>
      </c>
      <c r="P130" s="138">
        <f>$O$219</f>
        <v>0.34771498375494458</v>
      </c>
      <c r="Q130" s="133"/>
      <c r="R130" s="133"/>
      <c r="S130" s="138">
        <v>0</v>
      </c>
      <c r="T130" s="138">
        <f>$F$219</f>
        <v>0.36962820238752458</v>
      </c>
      <c r="U130" s="138">
        <f>$I$219</f>
        <v>0.26810599086468712</v>
      </c>
      <c r="V130" s="138">
        <f>$R$219</f>
        <v>0.27024452567298896</v>
      </c>
      <c r="W130" s="138">
        <f>$S$219</f>
        <v>0.13403810838353239</v>
      </c>
      <c r="X130" s="138">
        <f>$O$219</f>
        <v>0.34771498375494458</v>
      </c>
      <c r="Y130" s="133"/>
      <c r="Z130" s="133"/>
      <c r="AA130" s="138">
        <v>0</v>
      </c>
      <c r="AB130" s="138">
        <f>$F$219</f>
        <v>0.36962820238752458</v>
      </c>
      <c r="AC130" s="138">
        <f>$I$219</f>
        <v>0.26810599086468712</v>
      </c>
      <c r="AD130" s="138">
        <f>$O$219</f>
        <v>0.34771498375494458</v>
      </c>
      <c r="AE130" s="138">
        <f>$S$219</f>
        <v>0.13403810838353239</v>
      </c>
      <c r="AF130" s="138">
        <f>$P$219</f>
        <v>0.29594963069652797</v>
      </c>
      <c r="AG130" s="133"/>
      <c r="AH130" s="133"/>
      <c r="AI130" s="138">
        <v>0</v>
      </c>
      <c r="AJ130" s="138">
        <f>$F$219</f>
        <v>0.36962820238752458</v>
      </c>
      <c r="AK130" s="138">
        <f>$I$219</f>
        <v>0.26810599086468712</v>
      </c>
      <c r="AL130" s="138">
        <f>$S$219</f>
        <v>0.13403810838353239</v>
      </c>
      <c r="AM130" s="138">
        <f>$P$219</f>
        <v>0.29594963069652797</v>
      </c>
      <c r="AN130" s="138">
        <f>$U$219</f>
        <v>0</v>
      </c>
      <c r="AO130" s="133"/>
      <c r="AP130" s="133"/>
      <c r="AQ130" s="138">
        <v>0</v>
      </c>
      <c r="AR130" s="138">
        <f>$U$219</f>
        <v>0</v>
      </c>
      <c r="AS130" s="138">
        <f>$I$219</f>
        <v>0.26810599086468712</v>
      </c>
      <c r="AT130" s="138">
        <f>$S$219</f>
        <v>0.13403810838353239</v>
      </c>
      <c r="AU130" s="138">
        <f>$T$219</f>
        <v>0</v>
      </c>
      <c r="AV130" s="138">
        <f>$V$219</f>
        <v>9.0066857826695823E-2</v>
      </c>
      <c r="AW130" s="133"/>
      <c r="AX130" s="133"/>
      <c r="AY130" s="138">
        <v>0</v>
      </c>
      <c r="AZ130" s="138">
        <f>$F$219</f>
        <v>0.36962820238752458</v>
      </c>
      <c r="BA130" s="138">
        <f>$I$219</f>
        <v>0.26810599086468712</v>
      </c>
      <c r="BB130" s="138">
        <f>$S$219</f>
        <v>0.13403810838353239</v>
      </c>
      <c r="BC130" s="138">
        <f>$V$219</f>
        <v>9.0066857826695823E-2</v>
      </c>
      <c r="BD130" s="139">
        <f>$U$219</f>
        <v>0</v>
      </c>
    </row>
    <row r="131" spans="1:56" hidden="1" outlineLevel="1" x14ac:dyDescent="0.2">
      <c r="A131" s="132"/>
      <c r="B131" s="133"/>
      <c r="C131" s="138">
        <v>0</v>
      </c>
      <c r="D131" s="138">
        <f>$F$220</f>
        <v>0.30464558189920393</v>
      </c>
      <c r="E131" s="138">
        <f>$I$220</f>
        <v>0.1436314877910809</v>
      </c>
      <c r="F131" s="138">
        <f>$M$220</f>
        <v>0</v>
      </c>
      <c r="G131" s="138">
        <f>$O$220</f>
        <v>0</v>
      </c>
      <c r="H131" s="138">
        <f>$Q$220</f>
        <v>0</v>
      </c>
      <c r="I131" s="133"/>
      <c r="J131" s="133"/>
      <c r="K131" s="138">
        <v>0</v>
      </c>
      <c r="L131" s="138">
        <f>$F$220</f>
        <v>0.30464558189920393</v>
      </c>
      <c r="M131" s="138">
        <f>$I$220</f>
        <v>0.1436314877910809</v>
      </c>
      <c r="N131" s="138">
        <f>$R$220</f>
        <v>0</v>
      </c>
      <c r="O131" s="138">
        <f>$Q$220</f>
        <v>0</v>
      </c>
      <c r="P131" s="138">
        <f>$O$220</f>
        <v>0</v>
      </c>
      <c r="Q131" s="133"/>
      <c r="R131" s="133"/>
      <c r="S131" s="138">
        <v>0</v>
      </c>
      <c r="T131" s="138">
        <f>$F$220</f>
        <v>0.30464558189920393</v>
      </c>
      <c r="U131" s="138">
        <f>$I$220</f>
        <v>0.1436314877910809</v>
      </c>
      <c r="V131" s="138">
        <f>$R$220</f>
        <v>0</v>
      </c>
      <c r="W131" s="138">
        <f>$S$220</f>
        <v>0</v>
      </c>
      <c r="X131" s="138">
        <f>$O$220</f>
        <v>0</v>
      </c>
      <c r="Y131" s="133"/>
      <c r="Z131" s="133"/>
      <c r="AA131" s="138">
        <v>0</v>
      </c>
      <c r="AB131" s="138">
        <f>$F$220</f>
        <v>0.30464558189920393</v>
      </c>
      <c r="AC131" s="138">
        <f>$I$220</f>
        <v>0.1436314877910809</v>
      </c>
      <c r="AD131" s="138">
        <f>$O$220</f>
        <v>0</v>
      </c>
      <c r="AE131" s="138">
        <f>$S$220</f>
        <v>0</v>
      </c>
      <c r="AF131" s="138">
        <f>$P$220</f>
        <v>0</v>
      </c>
      <c r="AG131" s="133"/>
      <c r="AH131" s="133"/>
      <c r="AI131" s="138">
        <v>0</v>
      </c>
      <c r="AJ131" s="138">
        <f>$F$220</f>
        <v>0.30464558189920393</v>
      </c>
      <c r="AK131" s="138">
        <f>$I$220</f>
        <v>0.1436314877910809</v>
      </c>
      <c r="AL131" s="138">
        <f>$S$220</f>
        <v>0</v>
      </c>
      <c r="AM131" s="138">
        <f>$P$220</f>
        <v>0</v>
      </c>
      <c r="AN131" s="138">
        <f>$U$220</f>
        <v>0</v>
      </c>
      <c r="AO131" s="133"/>
      <c r="AP131" s="133"/>
      <c r="AQ131" s="138">
        <v>0</v>
      </c>
      <c r="AR131" s="138">
        <f>$U$220</f>
        <v>0</v>
      </c>
      <c r="AS131" s="138">
        <f>$I$220</f>
        <v>0.1436314877910809</v>
      </c>
      <c r="AT131" s="138">
        <f>$S$220</f>
        <v>0</v>
      </c>
      <c r="AU131" s="138">
        <f>$T$220</f>
        <v>0</v>
      </c>
      <c r="AV131" s="138">
        <f>$V$220</f>
        <v>9.6502407488873232E-2</v>
      </c>
      <c r="AW131" s="133"/>
      <c r="AX131" s="133"/>
      <c r="AY131" s="138">
        <v>0</v>
      </c>
      <c r="AZ131" s="138">
        <f>$F$220</f>
        <v>0.30464558189920393</v>
      </c>
      <c r="BA131" s="138">
        <f>$I$220</f>
        <v>0.1436314877910809</v>
      </c>
      <c r="BB131" s="138">
        <f>$S$220</f>
        <v>0</v>
      </c>
      <c r="BC131" s="138">
        <f>$V$220</f>
        <v>9.6502407488873232E-2</v>
      </c>
      <c r="BD131" s="139">
        <f>$U$220</f>
        <v>0</v>
      </c>
    </row>
    <row r="132" spans="1:56" hidden="1" outlineLevel="1" x14ac:dyDescent="0.2">
      <c r="A132" s="132"/>
      <c r="B132" s="133"/>
      <c r="C132" s="138">
        <v>0</v>
      </c>
      <c r="D132" s="138">
        <f>$F$221</f>
        <v>5.169745319076114E-2</v>
      </c>
      <c r="E132" s="138">
        <f>$I$221</f>
        <v>0.24373838184384281</v>
      </c>
      <c r="F132" s="138">
        <f>$M$221</f>
        <v>0.26953549681692768</v>
      </c>
      <c r="G132" s="138">
        <f>$O$221</f>
        <v>0.18063535716911364</v>
      </c>
      <c r="H132" s="138">
        <f>$Q$221</f>
        <v>0.17237923257436782</v>
      </c>
      <c r="I132" s="133"/>
      <c r="J132" s="133"/>
      <c r="K132" s="138">
        <v>0</v>
      </c>
      <c r="L132" s="138">
        <f>$F$221</f>
        <v>5.169745319076114E-2</v>
      </c>
      <c r="M132" s="138">
        <f>$I$221</f>
        <v>0.24373838184384281</v>
      </c>
      <c r="N132" s="138">
        <f>$R$221</f>
        <v>0.16378836637767183</v>
      </c>
      <c r="O132" s="138">
        <f>$Q$221</f>
        <v>0.17237923257436782</v>
      </c>
      <c r="P132" s="138">
        <f>$O$221</f>
        <v>0.18063535716911364</v>
      </c>
      <c r="Q132" s="133"/>
      <c r="R132" s="133"/>
      <c r="S132" s="138">
        <v>0</v>
      </c>
      <c r="T132" s="138">
        <f>$F$221</f>
        <v>5.169745319076114E-2</v>
      </c>
      <c r="U132" s="138">
        <f>$I$221</f>
        <v>0.24373838184384281</v>
      </c>
      <c r="V132" s="138">
        <f>$R$221</f>
        <v>0.16378836637767183</v>
      </c>
      <c r="W132" s="138">
        <f>$S$221</f>
        <v>8.1237104617828668E-2</v>
      </c>
      <c r="X132" s="138">
        <f>$O$221</f>
        <v>0.18063535716911364</v>
      </c>
      <c r="Y132" s="133"/>
      <c r="Z132" s="133"/>
      <c r="AA132" s="138">
        <v>0</v>
      </c>
      <c r="AB132" s="138">
        <f>$F$221</f>
        <v>5.169745319076114E-2</v>
      </c>
      <c r="AC132" s="138">
        <f>$I$221</f>
        <v>0.24373838184384281</v>
      </c>
      <c r="AD132" s="138">
        <f>$O$221</f>
        <v>0.18063535716911364</v>
      </c>
      <c r="AE132" s="138">
        <f>$S$221</f>
        <v>8.1237104617828668E-2</v>
      </c>
      <c r="AF132" s="138">
        <f>$P$221</f>
        <v>0.17936757986548366</v>
      </c>
      <c r="AG132" s="133"/>
      <c r="AH132" s="133"/>
      <c r="AI132" s="138">
        <v>0</v>
      </c>
      <c r="AJ132" s="138">
        <f>$F$221</f>
        <v>5.169745319076114E-2</v>
      </c>
      <c r="AK132" s="138">
        <f>$I$221</f>
        <v>0.24373838184384281</v>
      </c>
      <c r="AL132" s="138">
        <f>$S$221</f>
        <v>8.1237104617828668E-2</v>
      </c>
      <c r="AM132" s="138">
        <f>$P$221</f>
        <v>0.17936757986548366</v>
      </c>
      <c r="AN132" s="138">
        <f>$U$221</f>
        <v>0</v>
      </c>
      <c r="AO132" s="133"/>
      <c r="AP132" s="133"/>
      <c r="AQ132" s="138">
        <v>0</v>
      </c>
      <c r="AR132" s="138">
        <f>$U$221</f>
        <v>0</v>
      </c>
      <c r="AS132" s="138">
        <f>$I$221</f>
        <v>0.24373838184384281</v>
      </c>
      <c r="AT132" s="138">
        <f>$S$221</f>
        <v>8.1237104617828668E-2</v>
      </c>
      <c r="AU132" s="138">
        <f>$T$221</f>
        <v>0</v>
      </c>
      <c r="AV132" s="138">
        <f>$V$221</f>
        <v>0</v>
      </c>
      <c r="AW132" s="133"/>
      <c r="AX132" s="133"/>
      <c r="AY132" s="138">
        <v>0</v>
      </c>
      <c r="AZ132" s="138">
        <f>$F$221</f>
        <v>5.169745319076114E-2</v>
      </c>
      <c r="BA132" s="138">
        <f>$I$221</f>
        <v>0.24373838184384281</v>
      </c>
      <c r="BB132" s="138">
        <f>$S$221</f>
        <v>8.1237104617828668E-2</v>
      </c>
      <c r="BC132" s="138">
        <f>$V$221</f>
        <v>0</v>
      </c>
      <c r="BD132" s="139">
        <f>$U$221</f>
        <v>0</v>
      </c>
    </row>
    <row r="133" spans="1:56" hidden="1" outlineLevel="1" x14ac:dyDescent="0.2">
      <c r="A133" s="132"/>
      <c r="B133" s="133"/>
      <c r="C133" s="138">
        <v>0</v>
      </c>
      <c r="D133" s="138">
        <f>$F$222</f>
        <v>0</v>
      </c>
      <c r="E133" s="138">
        <f>$I$222</f>
        <v>0</v>
      </c>
      <c r="F133" s="138">
        <f>$M$222</f>
        <v>0</v>
      </c>
      <c r="G133" s="138">
        <f>$O$222</f>
        <v>8.8657613334625476E-2</v>
      </c>
      <c r="H133" s="138">
        <f>$Q$222</f>
        <v>0</v>
      </c>
      <c r="I133" s="133"/>
      <c r="J133" s="133"/>
      <c r="K133" s="138">
        <v>0</v>
      </c>
      <c r="L133" s="138">
        <f>$F$222</f>
        <v>0</v>
      </c>
      <c r="M133" s="138">
        <f>$I$222</f>
        <v>0</v>
      </c>
      <c r="N133" s="138">
        <f>$R$222</f>
        <v>0</v>
      </c>
      <c r="O133" s="138">
        <f>$Q$222</f>
        <v>0</v>
      </c>
      <c r="P133" s="138">
        <f>$O$222</f>
        <v>8.8657613334625476E-2</v>
      </c>
      <c r="Q133" s="133"/>
      <c r="R133" s="133"/>
      <c r="S133" s="138">
        <v>0</v>
      </c>
      <c r="T133" s="138">
        <f>$F$222</f>
        <v>0</v>
      </c>
      <c r="U133" s="138">
        <f>$I$222</f>
        <v>0</v>
      </c>
      <c r="V133" s="138">
        <f>$R$222</f>
        <v>0</v>
      </c>
      <c r="W133" s="138">
        <f>$S$222</f>
        <v>0</v>
      </c>
      <c r="X133" s="138">
        <f>$O$222</f>
        <v>8.8657613334625476E-2</v>
      </c>
      <c r="Y133" s="133"/>
      <c r="Z133" s="133"/>
      <c r="AA133" s="138">
        <v>0</v>
      </c>
      <c r="AB133" s="138">
        <f>$F$222</f>
        <v>0</v>
      </c>
      <c r="AC133" s="138">
        <f>$I$222</f>
        <v>0</v>
      </c>
      <c r="AD133" s="138">
        <f>$O$222</f>
        <v>8.8657613334625476E-2</v>
      </c>
      <c r="AE133" s="138">
        <f>$S$222</f>
        <v>0</v>
      </c>
      <c r="AF133" s="138">
        <f>$P$222</f>
        <v>0.17607075148187762</v>
      </c>
      <c r="AG133" s="133"/>
      <c r="AH133" s="133"/>
      <c r="AI133" s="138">
        <v>0</v>
      </c>
      <c r="AJ133" s="138">
        <f>$F$222</f>
        <v>0</v>
      </c>
      <c r="AK133" s="138">
        <f>$I$222</f>
        <v>0</v>
      </c>
      <c r="AL133" s="138">
        <f>$S$222</f>
        <v>0</v>
      </c>
      <c r="AM133" s="138">
        <f>$P$222</f>
        <v>0.17607075148187762</v>
      </c>
      <c r="AN133" s="138">
        <f>$U$222</f>
        <v>1</v>
      </c>
      <c r="AO133" s="133"/>
      <c r="AP133" s="133"/>
      <c r="AQ133" s="138">
        <v>0</v>
      </c>
      <c r="AR133" s="138">
        <f>$U$222</f>
        <v>1</v>
      </c>
      <c r="AS133" s="138">
        <f>$I$222</f>
        <v>0</v>
      </c>
      <c r="AT133" s="138">
        <f>$S$222</f>
        <v>0</v>
      </c>
      <c r="AU133" s="138">
        <f>$T$222</f>
        <v>0</v>
      </c>
      <c r="AV133" s="138">
        <f>$V$222</f>
        <v>0.16075173978593996</v>
      </c>
      <c r="AW133" s="133"/>
      <c r="AX133" s="133"/>
      <c r="AY133" s="138">
        <v>0</v>
      </c>
      <c r="AZ133" s="138">
        <f>$F$222</f>
        <v>0</v>
      </c>
      <c r="BA133" s="138">
        <f>$I$222</f>
        <v>0</v>
      </c>
      <c r="BB133" s="138">
        <f>$S$222</f>
        <v>0</v>
      </c>
      <c r="BC133" s="138">
        <f>$V$222</f>
        <v>0.16075173978593996</v>
      </c>
      <c r="BD133" s="139">
        <f>$U$222</f>
        <v>1</v>
      </c>
    </row>
    <row r="134" spans="1:56" hidden="1" outlineLevel="1" x14ac:dyDescent="0.2">
      <c r="A134" s="132"/>
      <c r="B134" s="133"/>
      <c r="C134" s="138">
        <v>0</v>
      </c>
      <c r="D134" s="138">
        <f>$F$223</f>
        <v>0</v>
      </c>
      <c r="E134" s="138">
        <f>$I$223</f>
        <v>0</v>
      </c>
      <c r="F134" s="138">
        <f>$M$223</f>
        <v>0</v>
      </c>
      <c r="G134" s="138">
        <f>$O$223</f>
        <v>0</v>
      </c>
      <c r="H134" s="138">
        <f>$Q$223</f>
        <v>0.1150828284510447</v>
      </c>
      <c r="I134" s="133"/>
      <c r="J134" s="133"/>
      <c r="K134" s="138">
        <v>0</v>
      </c>
      <c r="L134" s="138">
        <f>$F$223</f>
        <v>0</v>
      </c>
      <c r="M134" s="138">
        <f>$I$223</f>
        <v>0</v>
      </c>
      <c r="N134" s="138">
        <f>$R$223</f>
        <v>0.21869488787736116</v>
      </c>
      <c r="O134" s="138">
        <f>$Q$223</f>
        <v>0.1150828284510447</v>
      </c>
      <c r="P134" s="138">
        <f>$O$223</f>
        <v>0</v>
      </c>
      <c r="Q134" s="133"/>
      <c r="R134" s="133"/>
      <c r="S134" s="138">
        <v>0</v>
      </c>
      <c r="T134" s="138">
        <f>$F$223</f>
        <v>0</v>
      </c>
      <c r="U134" s="138">
        <f>$I$223</f>
        <v>0</v>
      </c>
      <c r="V134" s="138">
        <f>$R$223</f>
        <v>0.21869488787736116</v>
      </c>
      <c r="W134" s="138">
        <f>$S$223</f>
        <v>0.32541028179458237</v>
      </c>
      <c r="X134" s="138">
        <f>$O$223</f>
        <v>0</v>
      </c>
      <c r="Y134" s="133"/>
      <c r="Z134" s="133"/>
      <c r="AA134" s="138">
        <v>0</v>
      </c>
      <c r="AB134" s="138">
        <f>$F$223</f>
        <v>0</v>
      </c>
      <c r="AC134" s="138">
        <f>$I$223</f>
        <v>0</v>
      </c>
      <c r="AD134" s="138">
        <f>$O$223</f>
        <v>0</v>
      </c>
      <c r="AE134" s="138">
        <f>$S$223</f>
        <v>0.32541028179458237</v>
      </c>
      <c r="AF134" s="138">
        <f>$P$223</f>
        <v>0</v>
      </c>
      <c r="AG134" s="133"/>
      <c r="AH134" s="133"/>
      <c r="AI134" s="138">
        <v>0</v>
      </c>
      <c r="AJ134" s="138">
        <f>$F$223</f>
        <v>0</v>
      </c>
      <c r="AK134" s="138">
        <f>$I$223</f>
        <v>0</v>
      </c>
      <c r="AL134" s="138">
        <f>$S$223</f>
        <v>0.32541028179458237</v>
      </c>
      <c r="AM134" s="138">
        <f>$P$223</f>
        <v>0</v>
      </c>
      <c r="AN134" s="138">
        <f>$U$223</f>
        <v>0</v>
      </c>
      <c r="AO134" s="133"/>
      <c r="AP134" s="133"/>
      <c r="AQ134" s="138">
        <v>0</v>
      </c>
      <c r="AR134" s="138">
        <f>$U$223</f>
        <v>0</v>
      </c>
      <c r="AS134" s="138">
        <f>$I$223</f>
        <v>0</v>
      </c>
      <c r="AT134" s="138">
        <f>$S$223</f>
        <v>0.32541028179458237</v>
      </c>
      <c r="AU134" s="138">
        <f>$T$223</f>
        <v>0.79072946520505982</v>
      </c>
      <c r="AV134" s="138">
        <f>$V$223</f>
        <v>0.21865931964568422</v>
      </c>
      <c r="AW134" s="133"/>
      <c r="AX134" s="133"/>
      <c r="AY134" s="138">
        <v>0</v>
      </c>
      <c r="AZ134" s="138">
        <f>$F$223</f>
        <v>0</v>
      </c>
      <c r="BA134" s="138">
        <f>$I$223</f>
        <v>0</v>
      </c>
      <c r="BB134" s="138">
        <f>$S$223</f>
        <v>0.32541028179458237</v>
      </c>
      <c r="BC134" s="138">
        <f>$V$223</f>
        <v>0.21865931964568422</v>
      </c>
      <c r="BD134" s="139">
        <f>$U$223</f>
        <v>0</v>
      </c>
    </row>
    <row r="135" spans="1:56" hidden="1" outlineLevel="1" x14ac:dyDescent="0.2">
      <c r="A135" s="132"/>
      <c r="B135" s="133"/>
      <c r="C135" s="138">
        <v>1</v>
      </c>
      <c r="D135" s="138">
        <f>$F$224</f>
        <v>0.27402876252251041</v>
      </c>
      <c r="E135" s="138">
        <f>$I$224</f>
        <v>0.34452413950038913</v>
      </c>
      <c r="F135" s="138">
        <f>$M$224</f>
        <v>0.2857412661164993</v>
      </c>
      <c r="G135" s="138">
        <f>$O$224</f>
        <v>0.3829920457413164</v>
      </c>
      <c r="H135" s="138">
        <f>$Q$224</f>
        <v>0.38071562581487517</v>
      </c>
      <c r="I135" s="133"/>
      <c r="J135" s="133"/>
      <c r="K135" s="138">
        <v>1</v>
      </c>
      <c r="L135" s="138">
        <f>$F$224</f>
        <v>0.27402876252251041</v>
      </c>
      <c r="M135" s="138">
        <f>$I$224</f>
        <v>0.34452413950038913</v>
      </c>
      <c r="N135" s="138">
        <f>$R$224</f>
        <v>0.34727222007197794</v>
      </c>
      <c r="O135" s="138">
        <f>$Q$224</f>
        <v>0.38071562581487517</v>
      </c>
      <c r="P135" s="138">
        <f>$O$224</f>
        <v>0.3829920457413164</v>
      </c>
      <c r="Q135" s="133"/>
      <c r="R135" s="133"/>
      <c r="S135" s="138">
        <v>1</v>
      </c>
      <c r="T135" s="138">
        <f>$F$224</f>
        <v>0.27402876252251041</v>
      </c>
      <c r="U135" s="138">
        <f>$I$224</f>
        <v>0.34452413950038913</v>
      </c>
      <c r="V135" s="138">
        <f>$R$224</f>
        <v>0.34727222007197794</v>
      </c>
      <c r="W135" s="138">
        <f>$S$224</f>
        <v>0.45931450520405653</v>
      </c>
      <c r="X135" s="138">
        <f>$O$224</f>
        <v>0.3829920457413164</v>
      </c>
      <c r="Y135" s="133"/>
      <c r="Z135" s="133"/>
      <c r="AA135" s="138">
        <v>1</v>
      </c>
      <c r="AB135" s="138">
        <f>$F$224</f>
        <v>0.27402876252251041</v>
      </c>
      <c r="AC135" s="138">
        <f>$I$224</f>
        <v>0.34452413950038913</v>
      </c>
      <c r="AD135" s="138">
        <f>$O$224</f>
        <v>0.3829920457413164</v>
      </c>
      <c r="AE135" s="138">
        <f>$S$224</f>
        <v>0.45931450520405653</v>
      </c>
      <c r="AF135" s="138">
        <f>$P$224</f>
        <v>0.34861203795611073</v>
      </c>
      <c r="AG135" s="133"/>
      <c r="AH135" s="133"/>
      <c r="AI135" s="138">
        <v>1</v>
      </c>
      <c r="AJ135" s="138">
        <f>$F$224</f>
        <v>0.27402876252251041</v>
      </c>
      <c r="AK135" s="138">
        <f>$I$224</f>
        <v>0.34452413950038913</v>
      </c>
      <c r="AL135" s="138">
        <f>$S$224</f>
        <v>0.45931450520405653</v>
      </c>
      <c r="AM135" s="138">
        <f>$P$224</f>
        <v>0.34861203795611073</v>
      </c>
      <c r="AN135" s="138">
        <f>$U$224</f>
        <v>0</v>
      </c>
      <c r="AO135" s="133"/>
      <c r="AP135" s="133"/>
      <c r="AQ135" s="138">
        <v>1</v>
      </c>
      <c r="AR135" s="138">
        <f>$U$224</f>
        <v>0</v>
      </c>
      <c r="AS135" s="138">
        <f>$I$224</f>
        <v>0.34452413950038913</v>
      </c>
      <c r="AT135" s="138">
        <f>$S$224</f>
        <v>0.45931450520405653</v>
      </c>
      <c r="AU135" s="138">
        <f>$T$224</f>
        <v>0.20927053479494012</v>
      </c>
      <c r="AV135" s="138">
        <f>$V$224</f>
        <v>0.43401967525280682</v>
      </c>
      <c r="AW135" s="133"/>
      <c r="AX135" s="133"/>
      <c r="AY135" s="138">
        <v>1</v>
      </c>
      <c r="AZ135" s="138">
        <f>$F$224</f>
        <v>0.27402876252251041</v>
      </c>
      <c r="BA135" s="138">
        <f>$I$224</f>
        <v>0.34452413950038913</v>
      </c>
      <c r="BB135" s="138">
        <f>$S$224</f>
        <v>0.45931450520405653</v>
      </c>
      <c r="BC135" s="138">
        <f>$V$224</f>
        <v>0.43401967525280682</v>
      </c>
      <c r="BD135" s="139">
        <f>$U$224</f>
        <v>0</v>
      </c>
    </row>
    <row r="136" spans="1:56" hidden="1" outlineLevel="1" x14ac:dyDescent="0.2">
      <c r="A136" s="132"/>
      <c r="B136" s="133"/>
      <c r="C136" s="140">
        <f t="shared" ref="C136:H136" si="101">SUM(C130:C135)</f>
        <v>1</v>
      </c>
      <c r="D136" s="140">
        <f t="shared" si="101"/>
        <v>1</v>
      </c>
      <c r="E136" s="140">
        <f t="shared" si="101"/>
        <v>1</v>
      </c>
      <c r="F136" s="140">
        <f t="shared" si="101"/>
        <v>0.99999999999999989</v>
      </c>
      <c r="G136" s="140">
        <f t="shared" si="101"/>
        <v>1</v>
      </c>
      <c r="H136" s="140">
        <f t="shared" si="101"/>
        <v>1</v>
      </c>
      <c r="I136" s="133"/>
      <c r="J136" s="133"/>
      <c r="K136" s="140">
        <f t="shared" ref="K136:P136" si="102">SUM(K130:K135)</f>
        <v>1</v>
      </c>
      <c r="L136" s="140">
        <f t="shared" si="102"/>
        <v>1</v>
      </c>
      <c r="M136" s="140">
        <f t="shared" si="102"/>
        <v>1</v>
      </c>
      <c r="N136" s="140">
        <f t="shared" si="102"/>
        <v>0.99999999999999978</v>
      </c>
      <c r="O136" s="140">
        <f t="shared" si="102"/>
        <v>1</v>
      </c>
      <c r="P136" s="140">
        <f t="shared" si="102"/>
        <v>1</v>
      </c>
      <c r="Q136" s="133"/>
      <c r="R136" s="133"/>
      <c r="S136" s="140">
        <f t="shared" ref="S136:X136" si="103">SUM(S130:S135)</f>
        <v>1</v>
      </c>
      <c r="T136" s="140">
        <f t="shared" si="103"/>
        <v>1</v>
      </c>
      <c r="U136" s="140">
        <f t="shared" si="103"/>
        <v>1</v>
      </c>
      <c r="V136" s="140">
        <f t="shared" si="103"/>
        <v>0.99999999999999978</v>
      </c>
      <c r="W136" s="140">
        <f t="shared" si="103"/>
        <v>1</v>
      </c>
      <c r="X136" s="140">
        <f t="shared" si="103"/>
        <v>1</v>
      </c>
      <c r="Y136" s="133"/>
      <c r="Z136" s="133"/>
      <c r="AA136" s="140">
        <f t="shared" ref="AA136:AF136" si="104">SUM(AA130:AA135)</f>
        <v>1</v>
      </c>
      <c r="AB136" s="140">
        <f t="shared" si="104"/>
        <v>1</v>
      </c>
      <c r="AC136" s="140">
        <f t="shared" si="104"/>
        <v>1</v>
      </c>
      <c r="AD136" s="140">
        <f t="shared" si="104"/>
        <v>1</v>
      </c>
      <c r="AE136" s="140">
        <f t="shared" si="104"/>
        <v>1</v>
      </c>
      <c r="AF136" s="140">
        <f t="shared" si="104"/>
        <v>0.99999999999999989</v>
      </c>
      <c r="AG136" s="133"/>
      <c r="AH136" s="133"/>
      <c r="AI136" s="140">
        <f t="shared" ref="AI136:AN136" si="105">SUM(AI130:AI135)</f>
        <v>1</v>
      </c>
      <c r="AJ136" s="140">
        <f t="shared" si="105"/>
        <v>1</v>
      </c>
      <c r="AK136" s="140">
        <f t="shared" si="105"/>
        <v>1</v>
      </c>
      <c r="AL136" s="140">
        <f t="shared" si="105"/>
        <v>1</v>
      </c>
      <c r="AM136" s="140">
        <f t="shared" si="105"/>
        <v>0.99999999999999989</v>
      </c>
      <c r="AN136" s="140">
        <f t="shared" si="105"/>
        <v>1</v>
      </c>
      <c r="AO136" s="133"/>
      <c r="AP136" s="133"/>
      <c r="AQ136" s="140">
        <f t="shared" ref="AQ136:AV136" si="106">SUM(AQ130:AQ135)</f>
        <v>1</v>
      </c>
      <c r="AR136" s="140">
        <f t="shared" si="106"/>
        <v>1</v>
      </c>
      <c r="AS136" s="140">
        <f t="shared" si="106"/>
        <v>1</v>
      </c>
      <c r="AT136" s="140">
        <f t="shared" si="106"/>
        <v>1</v>
      </c>
      <c r="AU136" s="140">
        <f t="shared" si="106"/>
        <v>1</v>
      </c>
      <c r="AV136" s="140">
        <f t="shared" si="106"/>
        <v>1</v>
      </c>
      <c r="AW136" s="133"/>
      <c r="AX136" s="133"/>
      <c r="AY136" s="140">
        <f t="shared" ref="AY136:BD136" si="107">SUM(AY130:AY135)</f>
        <v>1</v>
      </c>
      <c r="AZ136" s="140">
        <f t="shared" si="107"/>
        <v>1</v>
      </c>
      <c r="BA136" s="140">
        <f t="shared" si="107"/>
        <v>1</v>
      </c>
      <c r="BB136" s="140">
        <f t="shared" si="107"/>
        <v>1</v>
      </c>
      <c r="BC136" s="140">
        <f t="shared" si="107"/>
        <v>1</v>
      </c>
      <c r="BD136" s="141">
        <f t="shared" si="107"/>
        <v>1</v>
      </c>
    </row>
    <row r="137" spans="1:56" hidden="1" outlineLevel="1" x14ac:dyDescent="0.2">
      <c r="A137" s="132"/>
      <c r="B137" s="142">
        <f t="array" ref="B137:B142">MMULT(C137:H142,$V$19:$V$24)</f>
        <v>-28.117591209544052</v>
      </c>
      <c r="C137" s="138">
        <f t="array" ref="C137:H142">MINVERSE(C130:H135)</f>
        <v>-6.4251480988775977E-2</v>
      </c>
      <c r="D137" s="138">
        <v>-0.6596334816249837</v>
      </c>
      <c r="E137" s="138">
        <v>-0.95411232487690056</v>
      </c>
      <c r="F137" s="138">
        <v>-2.1239509547674436</v>
      </c>
      <c r="G137" s="138">
        <v>-1.6937922280919278</v>
      </c>
      <c r="H137" s="138">
        <v>1</v>
      </c>
      <c r="I137" s="133"/>
      <c r="J137" s="142">
        <f t="array" ref="J137:J142">MMULT(K137:P142,$V$19:$V$24)</f>
        <v>24.942036740596169</v>
      </c>
      <c r="K137" s="138">
        <f t="array" ref="K137:P142">MINVERSE(K130:P135)</f>
        <v>-0.74221538383586338</v>
      </c>
      <c r="L137" s="138">
        <v>0.11372991062499693</v>
      </c>
      <c r="M137" s="138">
        <v>-0.6641011712106144</v>
      </c>
      <c r="N137" s="138">
        <v>-5.5860779055835863E-2</v>
      </c>
      <c r="O137" s="138">
        <v>-0.17339467852234192</v>
      </c>
      <c r="P137" s="138">
        <v>1</v>
      </c>
      <c r="Q137" s="133"/>
      <c r="R137" s="142">
        <f t="array" ref="R137:R142">MMULT(S137:X142,$V$19:$V$24)</f>
        <v>-28.271427465480066</v>
      </c>
      <c r="S137" s="138">
        <f t="array" ref="S137:X142">MINVERSE(S130:X135)</f>
        <v>0.51401184791021071</v>
      </c>
      <c r="T137" s="138">
        <v>-1.3192669632499678</v>
      </c>
      <c r="U137" s="138">
        <v>-1.2014747794746166</v>
      </c>
      <c r="V137" s="138">
        <v>-3.8879102222861688</v>
      </c>
      <c r="W137" s="138">
        <v>-1.3232751781968188</v>
      </c>
      <c r="X137" s="138">
        <v>1</v>
      </c>
      <c r="Y137" s="133"/>
      <c r="Z137" s="142">
        <f t="array" ref="Z137:Z142">MMULT(AA137:AF142,$V$19:$V$24)</f>
        <v>4.2050688183210738</v>
      </c>
      <c r="AA137" s="138">
        <f t="array" ref="AA137:AF142">MINVERSE(AA130:AF135)</f>
        <v>-0.74221538383586361</v>
      </c>
      <c r="AB137" s="138">
        <v>0.11372991062499715</v>
      </c>
      <c r="AC137" s="138">
        <v>-0.6641011712106144</v>
      </c>
      <c r="AD137" s="138">
        <v>-5.5860779055835863E-2</v>
      </c>
      <c r="AE137" s="138">
        <v>-0.93998167830532675</v>
      </c>
      <c r="AF137" s="138">
        <v>1</v>
      </c>
      <c r="AG137" s="133"/>
      <c r="AH137" s="142">
        <f t="array" ref="AH137:AH142">MMULT(AI137:AN142,$V$19:$V$24)</f>
        <v>4.7073371637391972</v>
      </c>
      <c r="AI137" s="138">
        <f t="array" ref="AI137:AN142">MINVERSE(AI130:AN135)</f>
        <v>-0.78708064211250861</v>
      </c>
      <c r="AJ137" s="138">
        <v>0.16490837040624617</v>
      </c>
      <c r="AK137" s="138">
        <v>-0.64490925662975707</v>
      </c>
      <c r="AL137" s="138">
        <v>0</v>
      </c>
      <c r="AM137" s="138">
        <v>-0.92629262473777318</v>
      </c>
      <c r="AN137" s="138">
        <v>1</v>
      </c>
      <c r="AO137" s="133"/>
      <c r="AP137" s="142">
        <f t="array" ref="AP137:AP142">MMULT(AQ137:AV142,$V$19:$V$24)</f>
        <v>-29.50570119087245</v>
      </c>
      <c r="AQ137" s="138">
        <f t="array" ref="AQ137:AV142">MINVERSE(AQ130:AV135)</f>
        <v>-4.9794897766301585</v>
      </c>
      <c r="AR137" s="138">
        <v>0.74958350184657307</v>
      </c>
      <c r="AS137" s="138">
        <v>3.6220930851808277</v>
      </c>
      <c r="AT137" s="138">
        <v>0</v>
      </c>
      <c r="AU137" s="138">
        <v>-0.26465503563936371</v>
      </c>
      <c r="AV137" s="138">
        <v>1</v>
      </c>
      <c r="AW137" s="133"/>
      <c r="AX137" s="142">
        <f t="array" ref="AX137:AX142">MMULT(AY137:BD142,$V$19:$V$24)</f>
        <v>2.4962411028461986</v>
      </c>
      <c r="AY137" s="138">
        <f t="array" ref="AY137:BD142">MINVERSE(AY130:BD135)</f>
        <v>1.247961457666614</v>
      </c>
      <c r="AZ137" s="138">
        <v>-2.1564940745432146</v>
      </c>
      <c r="BA137" s="138">
        <v>-1.5154348180024841</v>
      </c>
      <c r="BB137" s="138">
        <v>0</v>
      </c>
      <c r="BC137" s="138">
        <v>-1.5472140545070494</v>
      </c>
      <c r="BD137" s="139">
        <v>1</v>
      </c>
    </row>
    <row r="138" spans="1:56" hidden="1" outlineLevel="1" x14ac:dyDescent="0.2">
      <c r="A138" s="132"/>
      <c r="B138" s="142">
        <v>4.1802879822572372</v>
      </c>
      <c r="C138" s="138">
        <v>1.7585238242143886</v>
      </c>
      <c r="D138" s="138">
        <v>1.6412514400600491</v>
      </c>
      <c r="E138" s="138">
        <v>-2.9014968966944492</v>
      </c>
      <c r="F138" s="138">
        <v>-0.98527527895674727</v>
      </c>
      <c r="G138" s="138">
        <v>-0.72434468156683773</v>
      </c>
      <c r="H138" s="138">
        <v>0</v>
      </c>
      <c r="I138" s="133"/>
      <c r="J138" s="142">
        <v>46.892336115972341</v>
      </c>
      <c r="K138" s="138">
        <v>1.2127750511823381</v>
      </c>
      <c r="L138" s="138">
        <v>2.2637950897379975</v>
      </c>
      <c r="M138" s="138">
        <v>-2.6680431233971946</v>
      </c>
      <c r="N138" s="138">
        <v>0.67950019238396364</v>
      </c>
      <c r="O138" s="138">
        <v>0.49954805625299131</v>
      </c>
      <c r="P138" s="138">
        <v>0</v>
      </c>
      <c r="Q138" s="133"/>
      <c r="R138" s="142">
        <v>23.774557687553994</v>
      </c>
      <c r="S138" s="138">
        <v>1.7585238242143888</v>
      </c>
      <c r="T138" s="138">
        <v>1.6412514400600473</v>
      </c>
      <c r="U138" s="138">
        <v>-2.9014968966944492</v>
      </c>
      <c r="V138" s="138">
        <v>-0.98527527895674971</v>
      </c>
      <c r="W138" s="138">
        <v>0</v>
      </c>
      <c r="X138" s="138">
        <v>0</v>
      </c>
      <c r="Y138" s="133"/>
      <c r="Z138" s="142">
        <v>37.883476481353156</v>
      </c>
      <c r="AA138" s="138">
        <v>1.2127750511823372</v>
      </c>
      <c r="AB138" s="138">
        <v>2.2637950897379988</v>
      </c>
      <c r="AC138" s="138">
        <v>-2.6680431233971946</v>
      </c>
      <c r="AD138" s="138">
        <v>0.67950019238396475</v>
      </c>
      <c r="AE138" s="138">
        <v>0.16651601875099756</v>
      </c>
      <c r="AF138" s="138">
        <v>0</v>
      </c>
      <c r="AG138" s="133"/>
      <c r="AH138" s="142">
        <v>31.773797327060585</v>
      </c>
      <c r="AI138" s="138">
        <v>1.7585238242143886</v>
      </c>
      <c r="AJ138" s="138">
        <v>1.6412514400600484</v>
      </c>
      <c r="AK138" s="138">
        <v>-2.9014968966944492</v>
      </c>
      <c r="AL138" s="138">
        <v>0</v>
      </c>
      <c r="AM138" s="138">
        <v>0</v>
      </c>
      <c r="AN138" s="138">
        <v>0</v>
      </c>
      <c r="AO138" s="133"/>
      <c r="AP138" s="142">
        <v>-8.0055383429243108</v>
      </c>
      <c r="AQ138" s="138">
        <v>-0.89240228683926148</v>
      </c>
      <c r="AR138" s="138">
        <v>-0.83288978984526729</v>
      </c>
      <c r="AS138" s="138">
        <v>1.4724295629170128</v>
      </c>
      <c r="AT138" s="138">
        <v>1</v>
      </c>
      <c r="AU138" s="138">
        <v>0</v>
      </c>
      <c r="AV138" s="138">
        <v>0</v>
      </c>
      <c r="AW138" s="133"/>
      <c r="AX138" s="142">
        <v>27.805512092210019</v>
      </c>
      <c r="AY138" s="138">
        <v>5.4108425360442745</v>
      </c>
      <c r="AZ138" s="138">
        <v>-2.5250022154769982</v>
      </c>
      <c r="BA138" s="138">
        <v>-4.4638413795299217</v>
      </c>
      <c r="BB138" s="138">
        <v>0</v>
      </c>
      <c r="BC138" s="138">
        <v>-1.1143764331797523</v>
      </c>
      <c r="BD138" s="139">
        <v>0</v>
      </c>
    </row>
    <row r="139" spans="1:56" hidden="1" outlineLevel="1" x14ac:dyDescent="0.2">
      <c r="A139" s="132"/>
      <c r="B139" s="142">
        <v>33.299272441417131</v>
      </c>
      <c r="C139" s="138">
        <v>-3.7298681643585478</v>
      </c>
      <c r="D139" s="138">
        <v>3.4811308278535331</v>
      </c>
      <c r="E139" s="138">
        <v>6.1541394861684653</v>
      </c>
      <c r="F139" s="138">
        <v>2.0897907924290036</v>
      </c>
      <c r="G139" s="138">
        <v>1.5363511887622894</v>
      </c>
      <c r="H139" s="138">
        <v>0</v>
      </c>
      <c r="I139" s="133"/>
      <c r="J139" s="142">
        <v>-57.293932140081949</v>
      </c>
      <c r="K139" s="138">
        <v>-2.5723228719714117</v>
      </c>
      <c r="L139" s="138">
        <v>2.1607018931504682</v>
      </c>
      <c r="M139" s="138">
        <v>5.6589788378560604</v>
      </c>
      <c r="N139" s="138">
        <v>-1.441235029261382</v>
      </c>
      <c r="O139" s="138">
        <v>-1.0595525439739926</v>
      </c>
      <c r="P139" s="138">
        <v>0</v>
      </c>
      <c r="Q139" s="133"/>
      <c r="R139" s="142">
        <v>-8.2606096433716587</v>
      </c>
      <c r="S139" s="138">
        <v>-3.7298681643585474</v>
      </c>
      <c r="T139" s="138">
        <v>3.4811308278535322</v>
      </c>
      <c r="U139" s="138">
        <v>6.1541394861684662</v>
      </c>
      <c r="V139" s="138">
        <v>2.0897907924289982</v>
      </c>
      <c r="W139" s="138">
        <v>-8.0747341459897986E-16</v>
      </c>
      <c r="X139" s="138">
        <v>0</v>
      </c>
      <c r="Y139" s="133"/>
      <c r="Z139" s="142">
        <v>-38.185940376960687</v>
      </c>
      <c r="AA139" s="138">
        <v>-2.5723228719714122</v>
      </c>
      <c r="AB139" s="138">
        <v>2.1607018931504687</v>
      </c>
      <c r="AC139" s="138">
        <v>5.6589788378560604</v>
      </c>
      <c r="AD139" s="138">
        <v>-1.4412350292613809</v>
      </c>
      <c r="AE139" s="138">
        <v>-0.35318418132466411</v>
      </c>
      <c r="AF139" s="138">
        <v>0</v>
      </c>
      <c r="AG139" s="133"/>
      <c r="AH139" s="142">
        <v>-25.227174929343608</v>
      </c>
      <c r="AI139" s="138">
        <v>-3.7298681643585483</v>
      </c>
      <c r="AJ139" s="138">
        <v>3.4811308278535331</v>
      </c>
      <c r="AK139" s="138">
        <v>6.1541394861684662</v>
      </c>
      <c r="AL139" s="138">
        <v>0</v>
      </c>
      <c r="AM139" s="138">
        <v>1.3457890243316333E-16</v>
      </c>
      <c r="AN139" s="138">
        <v>0</v>
      </c>
      <c r="AO139" s="133"/>
      <c r="AP139" s="142">
        <v>-25.227174929343608</v>
      </c>
      <c r="AQ139" s="138">
        <v>-3.729868164358547</v>
      </c>
      <c r="AR139" s="138">
        <v>3.4811308278535313</v>
      </c>
      <c r="AS139" s="138">
        <v>6.1541394861684653</v>
      </c>
      <c r="AT139" s="138">
        <v>0</v>
      </c>
      <c r="AU139" s="138">
        <v>0</v>
      </c>
      <c r="AV139" s="138">
        <v>0</v>
      </c>
      <c r="AW139" s="133"/>
      <c r="AX139" s="142">
        <v>-25.227174929343612</v>
      </c>
      <c r="AY139" s="138">
        <v>-3.7298681643585474</v>
      </c>
      <c r="AZ139" s="138">
        <v>3.4811308278535322</v>
      </c>
      <c r="BA139" s="138">
        <v>6.1541394861684653</v>
      </c>
      <c r="BB139" s="138">
        <v>0</v>
      </c>
      <c r="BC139" s="138">
        <v>-1.0093417682487248E-16</v>
      </c>
      <c r="BD139" s="139">
        <v>0</v>
      </c>
    </row>
    <row r="140" spans="1:56" hidden="1" outlineLevel="1" x14ac:dyDescent="0.2">
      <c r="A140" s="132"/>
      <c r="B140" s="142">
        <v>-237.57545822117658</v>
      </c>
      <c r="C140" s="138">
        <v>3.0355958211329348</v>
      </c>
      <c r="D140" s="138">
        <v>-3.4627487862885986</v>
      </c>
      <c r="E140" s="138">
        <v>-1.2985302645971153</v>
      </c>
      <c r="F140" s="138">
        <v>-9.2599117279732113</v>
      </c>
      <c r="G140" s="138">
        <v>-6.8076079398214819</v>
      </c>
      <c r="H140" s="138">
        <v>0</v>
      </c>
      <c r="I140" s="133"/>
      <c r="J140" s="142">
        <v>269.62893127375293</v>
      </c>
      <c r="K140" s="138">
        <v>-3.4451557545525424</v>
      </c>
      <c r="L140" s="138">
        <v>3.9299398242021666</v>
      </c>
      <c r="M140" s="138">
        <v>1.4737268322723382</v>
      </c>
      <c r="N140" s="138">
        <v>10.509250920094226</v>
      </c>
      <c r="O140" s="138">
        <v>7.7260844494971037</v>
      </c>
      <c r="P140" s="138">
        <v>0</v>
      </c>
      <c r="Q140" s="133"/>
      <c r="R140" s="142">
        <v>-193.71760369492284</v>
      </c>
      <c r="S140" s="138">
        <v>7.4932137661517846</v>
      </c>
      <c r="T140" s="138">
        <v>-8.5476191176397158</v>
      </c>
      <c r="U140" s="138">
        <v>-3.2053558601923378</v>
      </c>
      <c r="V140" s="138">
        <v>-22.857620751204951</v>
      </c>
      <c r="W140" s="138">
        <v>-2.2862902962797547</v>
      </c>
      <c r="X140" s="138">
        <v>0</v>
      </c>
      <c r="Y140" s="133"/>
      <c r="Z140" s="142">
        <v>-69.943084684999008</v>
      </c>
      <c r="AA140" s="138">
        <v>6.2476853014608009</v>
      </c>
      <c r="AB140" s="138">
        <v>-7.1268264846511338</v>
      </c>
      <c r="AC140" s="138">
        <v>-2.6725588403918565</v>
      </c>
      <c r="AD140" s="138">
        <v>-7.7788601167368254</v>
      </c>
      <c r="AE140" s="138">
        <v>-1.9062611483824243</v>
      </c>
      <c r="AF140" s="138">
        <v>0</v>
      </c>
      <c r="AG140" s="133"/>
      <c r="AH140" s="142">
        <v>83.128995932105909</v>
      </c>
      <c r="AI140" s="138">
        <v>0</v>
      </c>
      <c r="AJ140" s="138">
        <v>0</v>
      </c>
      <c r="AK140" s="138">
        <v>0</v>
      </c>
      <c r="AL140" s="138">
        <v>0</v>
      </c>
      <c r="AM140" s="138">
        <v>3.07304364965105</v>
      </c>
      <c r="AN140" s="138">
        <v>0</v>
      </c>
      <c r="AO140" s="133"/>
      <c r="AP140" s="142">
        <v>92.406037863335101</v>
      </c>
      <c r="AQ140" s="138">
        <v>11.190847275372967</v>
      </c>
      <c r="AR140" s="138">
        <v>-10.444552387229276</v>
      </c>
      <c r="AS140" s="138">
        <v>-6.1548230005512483</v>
      </c>
      <c r="AT140" s="138">
        <v>0</v>
      </c>
      <c r="AU140" s="138">
        <v>0</v>
      </c>
      <c r="AV140" s="138">
        <v>0</v>
      </c>
      <c r="AW140" s="133"/>
      <c r="AX140" s="142">
        <v>74.711239820068869</v>
      </c>
      <c r="AY140" s="138">
        <v>7.7475096521812841</v>
      </c>
      <c r="AZ140" s="138">
        <v>-8.837698173809386</v>
      </c>
      <c r="BA140" s="138">
        <v>-3.3141354618352876</v>
      </c>
      <c r="BB140" s="138">
        <v>0</v>
      </c>
      <c r="BC140" s="138">
        <v>0.70916391915024246</v>
      </c>
      <c r="BD140" s="139">
        <v>0</v>
      </c>
    </row>
    <row r="141" spans="1:56" hidden="1" outlineLevel="1" x14ac:dyDescent="0.2">
      <c r="A141" s="132"/>
      <c r="B141" s="142">
        <v>91.574611594541878</v>
      </c>
      <c r="C141" s="138">
        <v>0</v>
      </c>
      <c r="D141" s="138">
        <v>0</v>
      </c>
      <c r="E141" s="138">
        <v>0</v>
      </c>
      <c r="F141" s="138">
        <v>11.279347169268398</v>
      </c>
      <c r="G141" s="138">
        <v>0</v>
      </c>
      <c r="H141" s="138">
        <v>0</v>
      </c>
      <c r="I141" s="133"/>
      <c r="J141" s="142">
        <v>-277.32581247266972</v>
      </c>
      <c r="K141" s="138">
        <v>6.5469189591774786</v>
      </c>
      <c r="L141" s="138">
        <v>-7.4681667177156283</v>
      </c>
      <c r="M141" s="138">
        <v>-2.8005613755205885</v>
      </c>
      <c r="N141" s="138">
        <v>-19.971002473429369</v>
      </c>
      <c r="O141" s="138">
        <v>-5.9926852832537598</v>
      </c>
      <c r="P141" s="138">
        <v>0</v>
      </c>
      <c r="Q141" s="133"/>
      <c r="R141" s="142">
        <v>213.31864263379032</v>
      </c>
      <c r="S141" s="138">
        <v>-5.0358812739178367</v>
      </c>
      <c r="T141" s="138">
        <v>5.7445038129761032</v>
      </c>
      <c r="U141" s="138">
        <v>2.1541880501929378</v>
      </c>
      <c r="V141" s="138">
        <v>15.361668290750471</v>
      </c>
      <c r="W141" s="138">
        <v>4.6095654744765744</v>
      </c>
      <c r="X141" s="138">
        <v>0</v>
      </c>
      <c r="Y141" s="133"/>
      <c r="Z141" s="142">
        <v>83.128995932105909</v>
      </c>
      <c r="AA141" s="138">
        <v>0</v>
      </c>
      <c r="AB141" s="138">
        <v>0</v>
      </c>
      <c r="AC141" s="138">
        <v>0</v>
      </c>
      <c r="AD141" s="138">
        <v>0</v>
      </c>
      <c r="AE141" s="138">
        <v>3.07304364965105</v>
      </c>
      <c r="AF141" s="138">
        <v>0</v>
      </c>
      <c r="AG141" s="133"/>
      <c r="AH141" s="142">
        <v>-4.9562154697291732</v>
      </c>
      <c r="AI141" s="138">
        <v>4.5615870404120029</v>
      </c>
      <c r="AJ141" s="138">
        <v>-5.2034694071496217</v>
      </c>
      <c r="AK141" s="138">
        <v>-1.9513002308582288</v>
      </c>
      <c r="AL141" s="138">
        <v>0</v>
      </c>
      <c r="AM141" s="138">
        <v>-1.3918076424350336</v>
      </c>
      <c r="AN141" s="138">
        <v>0</v>
      </c>
      <c r="AO141" s="133"/>
      <c r="AP141" s="142">
        <v>-31.555208670024435</v>
      </c>
      <c r="AQ141" s="138">
        <v>-6.1405186403078602</v>
      </c>
      <c r="AR141" s="138">
        <v>2.8655099585082957</v>
      </c>
      <c r="AS141" s="138">
        <v>5.0658101794290973</v>
      </c>
      <c r="AT141" s="138">
        <v>0</v>
      </c>
      <c r="AU141" s="138">
        <v>1.2646550356393638</v>
      </c>
      <c r="AV141" s="138">
        <v>0</v>
      </c>
      <c r="AW141" s="133"/>
      <c r="AX141" s="142">
        <v>12.52736171014655</v>
      </c>
      <c r="AY141" s="138">
        <v>-11.529896384969014</v>
      </c>
      <c r="AZ141" s="138">
        <v>13.15232233327559</v>
      </c>
      <c r="BA141" s="138">
        <v>4.9321188609237732</v>
      </c>
      <c r="BB141" s="138">
        <v>0</v>
      </c>
      <c r="BC141" s="138">
        <v>3.5179418397406135</v>
      </c>
      <c r="BD141" s="139">
        <v>0</v>
      </c>
    </row>
    <row r="142" spans="1:56" hidden="1" outlineLevel="1" x14ac:dyDescent="0.2">
      <c r="A142" s="132"/>
      <c r="B142" s="142">
        <v>235.05704852461599</v>
      </c>
      <c r="C142" s="138">
        <v>0</v>
      </c>
      <c r="D142" s="138">
        <v>0</v>
      </c>
      <c r="E142" s="138">
        <v>0</v>
      </c>
      <c r="F142" s="138">
        <v>0</v>
      </c>
      <c r="G142" s="138">
        <v>8.6893936607179576</v>
      </c>
      <c r="H142" s="138">
        <v>0</v>
      </c>
      <c r="I142" s="133"/>
      <c r="J142" s="142">
        <v>91.574611594541878</v>
      </c>
      <c r="K142" s="138">
        <v>0</v>
      </c>
      <c r="L142" s="138">
        <v>0</v>
      </c>
      <c r="M142" s="138">
        <v>0</v>
      </c>
      <c r="N142" s="138">
        <v>11.279347169268398</v>
      </c>
      <c r="O142" s="138">
        <v>0</v>
      </c>
      <c r="P142" s="138">
        <v>0</v>
      </c>
      <c r="Q142" s="133"/>
      <c r="R142" s="142">
        <v>91.574611594541878</v>
      </c>
      <c r="S142" s="138">
        <v>0</v>
      </c>
      <c r="T142" s="138">
        <v>0</v>
      </c>
      <c r="U142" s="138">
        <v>0</v>
      </c>
      <c r="V142" s="138">
        <v>11.279347169268398</v>
      </c>
      <c r="W142" s="138">
        <v>0</v>
      </c>
      <c r="X142" s="138">
        <v>0</v>
      </c>
      <c r="Y142" s="133"/>
      <c r="Z142" s="142">
        <v>81.329654942291185</v>
      </c>
      <c r="AA142" s="138">
        <v>-3.1459220968358634</v>
      </c>
      <c r="AB142" s="138">
        <v>3.5885995911376702</v>
      </c>
      <c r="AC142" s="138">
        <v>1.3457242971436061</v>
      </c>
      <c r="AD142" s="138">
        <v>9.5964557326700781</v>
      </c>
      <c r="AE142" s="138">
        <v>0.95986733961036785</v>
      </c>
      <c r="AF142" s="138">
        <v>0</v>
      </c>
      <c r="AG142" s="133"/>
      <c r="AH142" s="142">
        <v>8.9914310882787305</v>
      </c>
      <c r="AI142" s="138">
        <v>-0.80316205815533537</v>
      </c>
      <c r="AJ142" s="138">
        <v>0.91617876882979421</v>
      </c>
      <c r="AK142" s="138">
        <v>0.34356689801396961</v>
      </c>
      <c r="AL142" s="138">
        <v>1</v>
      </c>
      <c r="AM142" s="138">
        <v>0.24505661752175681</v>
      </c>
      <c r="AN142" s="138">
        <v>0</v>
      </c>
      <c r="AO142" s="133"/>
      <c r="AP142" s="142">
        <v>100.30575638194131</v>
      </c>
      <c r="AQ142" s="138">
        <v>5.5514315927628601</v>
      </c>
      <c r="AR142" s="138">
        <v>5.1812178888661427</v>
      </c>
      <c r="AS142" s="138">
        <v>-9.1596493131441541</v>
      </c>
      <c r="AT142" s="138">
        <v>0</v>
      </c>
      <c r="AU142" s="138">
        <v>0</v>
      </c>
      <c r="AV142" s="138">
        <v>0</v>
      </c>
      <c r="AW142" s="133"/>
      <c r="AX142" s="142">
        <v>6.1049913161835772</v>
      </c>
      <c r="AY142" s="138">
        <v>1.8534509034353888</v>
      </c>
      <c r="AZ142" s="138">
        <v>-2.1142586972995243</v>
      </c>
      <c r="BA142" s="138">
        <v>-0.79284668772454503</v>
      </c>
      <c r="BB142" s="138">
        <v>1</v>
      </c>
      <c r="BC142" s="138">
        <v>-0.56551527120405398</v>
      </c>
      <c r="BD142" s="139">
        <v>0</v>
      </c>
    </row>
    <row r="143" spans="1:56" hidden="1" outlineLevel="1" x14ac:dyDescent="0.2">
      <c r="A143" s="132"/>
      <c r="B143" s="143">
        <f>SUM(B137:B142)</f>
        <v>98.418171112111622</v>
      </c>
      <c r="C143" s="133"/>
      <c r="D143" s="133"/>
      <c r="E143" s="133"/>
      <c r="F143" s="133"/>
      <c r="G143" s="133"/>
      <c r="H143" s="133"/>
      <c r="I143" s="133"/>
      <c r="J143" s="143">
        <f>SUM(J137:J142)</f>
        <v>98.418171112111636</v>
      </c>
      <c r="K143" s="133"/>
      <c r="L143" s="133"/>
      <c r="M143" s="133"/>
      <c r="N143" s="133"/>
      <c r="O143" s="133"/>
      <c r="P143" s="133"/>
      <c r="Q143" s="133"/>
      <c r="R143" s="143">
        <f>SUM(R137:R142)</f>
        <v>98.418171112111636</v>
      </c>
      <c r="S143" s="133"/>
      <c r="T143" s="133"/>
      <c r="U143" s="133"/>
      <c r="V143" s="133"/>
      <c r="W143" s="133"/>
      <c r="X143" s="133"/>
      <c r="Y143" s="133"/>
      <c r="Z143" s="143">
        <f>SUM(Z137:Z142)</f>
        <v>98.418171112111636</v>
      </c>
      <c r="AA143" s="133"/>
      <c r="AB143" s="133"/>
      <c r="AC143" s="133"/>
      <c r="AD143" s="133"/>
      <c r="AE143" s="133"/>
      <c r="AF143" s="133"/>
      <c r="AG143" s="133"/>
      <c r="AH143" s="143">
        <f>SUM(AH137:AH142)</f>
        <v>98.418171112111636</v>
      </c>
      <c r="AI143" s="133"/>
      <c r="AJ143" s="133"/>
      <c r="AK143" s="133"/>
      <c r="AL143" s="133"/>
      <c r="AM143" s="133"/>
      <c r="AN143" s="133"/>
      <c r="AO143" s="133"/>
      <c r="AP143" s="143">
        <f>SUM(AP137:AP142)</f>
        <v>98.418171112111594</v>
      </c>
      <c r="AQ143" s="133"/>
      <c r="AR143" s="133"/>
      <c r="AS143" s="133"/>
      <c r="AT143" s="133"/>
      <c r="AU143" s="133"/>
      <c r="AV143" s="133"/>
      <c r="AW143" s="133"/>
      <c r="AX143" s="143">
        <f>SUM(AX137:AX142)</f>
        <v>98.418171112111594</v>
      </c>
      <c r="AY143" s="133"/>
      <c r="AZ143" s="133"/>
      <c r="BA143" s="133"/>
      <c r="BB143" s="133"/>
      <c r="BC143" s="133"/>
      <c r="BD143" s="134"/>
    </row>
    <row r="144" spans="1:56" hidden="1" outlineLevel="1" x14ac:dyDescent="0.2">
      <c r="A144" s="132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3"/>
      <c r="O144" s="133"/>
      <c r="P144" s="133"/>
      <c r="Q144" s="133"/>
      <c r="R144" s="133"/>
      <c r="S144" s="133"/>
      <c r="T144" s="133"/>
      <c r="U144" s="133"/>
      <c r="V144" s="133"/>
      <c r="W144" s="133"/>
      <c r="X144" s="133"/>
      <c r="Y144" s="133"/>
      <c r="Z144" s="133"/>
      <c r="AA144" s="133"/>
      <c r="AB144" s="133"/>
      <c r="AC144" s="133"/>
      <c r="AD144" s="133"/>
      <c r="AE144" s="133"/>
      <c r="AF144" s="133"/>
      <c r="AG144" s="133"/>
      <c r="AH144" s="133"/>
      <c r="AI144" s="133"/>
      <c r="AJ144" s="133"/>
      <c r="AK144" s="133"/>
      <c r="AL144" s="133"/>
      <c r="AM144" s="133"/>
      <c r="AN144" s="133"/>
      <c r="AO144" s="133"/>
      <c r="AP144" s="133"/>
      <c r="AQ144" s="133"/>
      <c r="AR144" s="133"/>
      <c r="AS144" s="133"/>
      <c r="AT144" s="133"/>
      <c r="AU144" s="133"/>
      <c r="AV144" s="133"/>
      <c r="AW144" s="133"/>
      <c r="AX144" s="133"/>
      <c r="AY144" s="133"/>
      <c r="AZ144" s="133"/>
      <c r="BA144" s="133"/>
      <c r="BB144" s="133"/>
      <c r="BC144" s="133"/>
      <c r="BD144" s="134"/>
    </row>
    <row r="145" spans="1:56" hidden="1" outlineLevel="1" x14ac:dyDescent="0.2">
      <c r="A145" s="132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L145" s="133"/>
      <c r="M145" s="133"/>
      <c r="N145" s="133"/>
      <c r="O145" s="133"/>
      <c r="P145" s="133"/>
      <c r="Q145" s="133"/>
      <c r="R145" s="133"/>
      <c r="S145" s="133"/>
      <c r="T145" s="133"/>
      <c r="U145" s="133"/>
      <c r="V145" s="133"/>
      <c r="W145" s="133"/>
      <c r="X145" s="133"/>
      <c r="Y145" s="133"/>
      <c r="Z145" s="133"/>
      <c r="AA145" s="133"/>
      <c r="AB145" s="133"/>
      <c r="AC145" s="133"/>
      <c r="AD145" s="133"/>
      <c r="AE145" s="133"/>
      <c r="AF145" s="133"/>
      <c r="AG145" s="133"/>
      <c r="AH145" s="133"/>
      <c r="AI145" s="133"/>
      <c r="AJ145" s="133"/>
      <c r="AK145" s="133"/>
      <c r="AL145" s="133"/>
      <c r="AM145" s="133"/>
      <c r="AN145" s="133"/>
      <c r="AO145" s="133"/>
      <c r="AP145" s="133"/>
      <c r="AQ145" s="133"/>
      <c r="AR145" s="133"/>
      <c r="AS145" s="133"/>
      <c r="AT145" s="133"/>
      <c r="AU145" s="133"/>
      <c r="AV145" s="133"/>
      <c r="AW145" s="133"/>
      <c r="AX145" s="133"/>
      <c r="AY145" s="133"/>
      <c r="AZ145" s="133"/>
      <c r="BA145" s="133"/>
      <c r="BB145" s="133"/>
      <c r="BC145" s="133"/>
      <c r="BD145" s="134"/>
    </row>
    <row r="146" spans="1:56" hidden="1" outlineLevel="1" x14ac:dyDescent="0.2">
      <c r="A146" s="135" t="s">
        <v>63</v>
      </c>
      <c r="B146" s="136">
        <v>21</v>
      </c>
      <c r="C146" s="136" t="s">
        <v>59</v>
      </c>
      <c r="D146" s="136" t="str">
        <f>$L$218</f>
        <v>AH3</v>
      </c>
      <c r="E146" s="136" t="str">
        <f>$I$218</f>
        <v>strätlingite</v>
      </c>
      <c r="F146" s="136" t="str">
        <f>$M$218</f>
        <v>Hydrogarnet</v>
      </c>
      <c r="G146" s="136" t="str">
        <f>$O$218</f>
        <v>Hemicarbonate</v>
      </c>
      <c r="H146" s="136" t="str">
        <f>$Q$218</f>
        <v>Hemisulphate</v>
      </c>
      <c r="I146" s="133"/>
      <c r="J146" s="136">
        <v>22</v>
      </c>
      <c r="K146" s="136" t="s">
        <v>59</v>
      </c>
      <c r="L146" s="136" t="str">
        <f>$L$218</f>
        <v>AH3</v>
      </c>
      <c r="M146" s="136" t="str">
        <f>$I$218</f>
        <v>strätlingite</v>
      </c>
      <c r="N146" s="136" t="str">
        <f>$R$218</f>
        <v>monosulphate</v>
      </c>
      <c r="O146" s="136" t="str">
        <f>$Q$218</f>
        <v>Hemisulphate</v>
      </c>
      <c r="P146" s="136" t="str">
        <f>$O$218</f>
        <v>Hemicarbonate</v>
      </c>
      <c r="Q146" s="133"/>
      <c r="R146" s="136">
        <v>23</v>
      </c>
      <c r="S146" s="136" t="s">
        <v>59</v>
      </c>
      <c r="T146" s="136" t="str">
        <f>$L$218</f>
        <v>AH3</v>
      </c>
      <c r="U146" s="136" t="str">
        <f>$I$218</f>
        <v>strätlingite</v>
      </c>
      <c r="V146" s="136" t="str">
        <f>$R$218</f>
        <v>monosulphate</v>
      </c>
      <c r="W146" s="136" t="str">
        <f>$S$218</f>
        <v>ettringite</v>
      </c>
      <c r="X146" s="136" t="str">
        <f>$O$218</f>
        <v>Hemicarbonate</v>
      </c>
      <c r="Y146" s="133"/>
      <c r="Z146" s="136">
        <v>24</v>
      </c>
      <c r="AA146" s="136" t="s">
        <v>59</v>
      </c>
      <c r="AB146" s="136" t="str">
        <f>$L$218</f>
        <v>AH3</v>
      </c>
      <c r="AC146" s="136" t="str">
        <f>$I$218</f>
        <v>strätlingite</v>
      </c>
      <c r="AD146" s="136" t="str">
        <f>$O$218</f>
        <v>Hemicarbonate</v>
      </c>
      <c r="AE146" s="136" t="str">
        <f>$S$218</f>
        <v>ettringite</v>
      </c>
      <c r="AF146" s="136" t="str">
        <f>$P$218</f>
        <v>monocarbonate</v>
      </c>
      <c r="AG146" s="133"/>
      <c r="AH146" s="136">
        <v>25</v>
      </c>
      <c r="AI146" s="136" t="s">
        <v>59</v>
      </c>
      <c r="AJ146" s="136" t="str">
        <f>$L$218</f>
        <v>AH3</v>
      </c>
      <c r="AK146" s="136" t="str">
        <f>$I$218</f>
        <v>strätlingite</v>
      </c>
      <c r="AL146" s="136" t="str">
        <f>$S$218</f>
        <v>ettringite</v>
      </c>
      <c r="AM146" s="136" t="str">
        <f>$P$218</f>
        <v>monocarbonate</v>
      </c>
      <c r="AN146" s="136" t="str">
        <f>$U$218</f>
        <v>calcite</v>
      </c>
      <c r="AO146" s="133"/>
      <c r="AP146" s="136">
        <v>26</v>
      </c>
      <c r="AQ146" s="136" t="s">
        <v>59</v>
      </c>
      <c r="AR146" s="136" t="str">
        <f>$L$218</f>
        <v>AH3</v>
      </c>
      <c r="AS146" s="136" t="str">
        <f>$U$218</f>
        <v>calcite</v>
      </c>
      <c r="AT146" s="136" t="str">
        <f>$S$218</f>
        <v>ettringite</v>
      </c>
      <c r="AU146" s="136" t="str">
        <f>$T$218</f>
        <v>gypsum</v>
      </c>
      <c r="AV146" s="136" t="str">
        <f>$V$218</f>
        <v>thaumasite</v>
      </c>
      <c r="AW146" s="133"/>
      <c r="AX146" s="136">
        <v>27</v>
      </c>
      <c r="AY146" s="136" t="s">
        <v>59</v>
      </c>
      <c r="AZ146" s="136" t="str">
        <f>$L$218</f>
        <v>AH3</v>
      </c>
      <c r="BA146" s="136" t="str">
        <f>$I$218</f>
        <v>strätlingite</v>
      </c>
      <c r="BB146" s="136" t="str">
        <f>$S$218</f>
        <v>ettringite</v>
      </c>
      <c r="BC146" s="136" t="str">
        <f>$V$218</f>
        <v>thaumasite</v>
      </c>
      <c r="BD146" s="137" t="str">
        <f>$U$218</f>
        <v>calcite</v>
      </c>
    </row>
    <row r="147" spans="1:56" hidden="1" outlineLevel="1" x14ac:dyDescent="0.2">
      <c r="A147" s="132"/>
      <c r="B147" s="133"/>
      <c r="C147" s="138">
        <v>0</v>
      </c>
      <c r="D147" s="138">
        <f>$L$219</f>
        <v>0</v>
      </c>
      <c r="E147" s="138">
        <f>$I$219</f>
        <v>0.26810599086468712</v>
      </c>
      <c r="F147" s="138">
        <f>$M$219</f>
        <v>0.44472323706657291</v>
      </c>
      <c r="G147" s="138">
        <f>$O$219</f>
        <v>0.34771498375494458</v>
      </c>
      <c r="H147" s="138">
        <f>$Q$219</f>
        <v>0.33182231315971239</v>
      </c>
      <c r="I147" s="133"/>
      <c r="J147" s="133"/>
      <c r="K147" s="138">
        <v>0</v>
      </c>
      <c r="L147" s="138">
        <f>$L$219</f>
        <v>0</v>
      </c>
      <c r="M147" s="138">
        <f>$I$219</f>
        <v>0.26810599086468712</v>
      </c>
      <c r="N147" s="138">
        <f>$R$219</f>
        <v>0.27024452567298896</v>
      </c>
      <c r="O147" s="138">
        <f>$Q$219</f>
        <v>0.33182231315971239</v>
      </c>
      <c r="P147" s="138">
        <f>$O$219</f>
        <v>0.34771498375494458</v>
      </c>
      <c r="Q147" s="133"/>
      <c r="R147" s="133"/>
      <c r="S147" s="138">
        <v>0</v>
      </c>
      <c r="T147" s="138">
        <f>$L$219</f>
        <v>0</v>
      </c>
      <c r="U147" s="138">
        <f>$I$219</f>
        <v>0.26810599086468712</v>
      </c>
      <c r="V147" s="138">
        <f>$R$219</f>
        <v>0.27024452567298896</v>
      </c>
      <c r="W147" s="138">
        <f>$S$219</f>
        <v>0.13403810838353239</v>
      </c>
      <c r="X147" s="138">
        <f>$O$219</f>
        <v>0.34771498375494458</v>
      </c>
      <c r="Y147" s="133"/>
      <c r="Z147" s="133"/>
      <c r="AA147" s="138">
        <v>0</v>
      </c>
      <c r="AB147" s="138">
        <f>$L$219</f>
        <v>0</v>
      </c>
      <c r="AC147" s="138">
        <f>$I$219</f>
        <v>0.26810599086468712</v>
      </c>
      <c r="AD147" s="138">
        <f>$O$219</f>
        <v>0.34771498375494458</v>
      </c>
      <c r="AE147" s="138">
        <f>$S$219</f>
        <v>0.13403810838353239</v>
      </c>
      <c r="AF147" s="138">
        <f>$P$219</f>
        <v>0.29594963069652797</v>
      </c>
      <c r="AG147" s="133"/>
      <c r="AH147" s="133"/>
      <c r="AI147" s="138">
        <v>0</v>
      </c>
      <c r="AJ147" s="138">
        <f>$L$219</f>
        <v>0</v>
      </c>
      <c r="AK147" s="138">
        <f>$I$219</f>
        <v>0.26810599086468712</v>
      </c>
      <c r="AL147" s="138">
        <f>$S$219</f>
        <v>0.13403810838353239</v>
      </c>
      <c r="AM147" s="138">
        <f>$P$219</f>
        <v>0.29594963069652797</v>
      </c>
      <c r="AN147" s="138">
        <f>$U$219</f>
        <v>0</v>
      </c>
      <c r="AO147" s="133"/>
      <c r="AP147" s="133"/>
      <c r="AQ147" s="138">
        <v>0</v>
      </c>
      <c r="AR147" s="138">
        <f>$L$219</f>
        <v>0</v>
      </c>
      <c r="AS147" s="138">
        <f>$U$219</f>
        <v>0</v>
      </c>
      <c r="AT147" s="138">
        <f>$S$219</f>
        <v>0.13403810838353239</v>
      </c>
      <c r="AU147" s="138">
        <f>$T$219</f>
        <v>0</v>
      </c>
      <c r="AV147" s="138">
        <f>$V$219</f>
        <v>9.0066857826695823E-2</v>
      </c>
      <c r="AW147" s="133"/>
      <c r="AX147" s="133"/>
      <c r="AY147" s="138">
        <v>0</v>
      </c>
      <c r="AZ147" s="138">
        <f>$L$219</f>
        <v>0</v>
      </c>
      <c r="BA147" s="138">
        <f>$I$219</f>
        <v>0.26810599086468712</v>
      </c>
      <c r="BB147" s="138">
        <f>$S$219</f>
        <v>0.13403810838353239</v>
      </c>
      <c r="BC147" s="138">
        <f>$V$219</f>
        <v>9.0066857826695823E-2</v>
      </c>
      <c r="BD147" s="139">
        <f>$U$219</f>
        <v>0</v>
      </c>
    </row>
    <row r="148" spans="1:56" hidden="1" outlineLevel="1" x14ac:dyDescent="0.2">
      <c r="A148" s="132"/>
      <c r="B148" s="133"/>
      <c r="C148" s="138">
        <v>0</v>
      </c>
      <c r="D148" s="138">
        <f>$L$220</f>
        <v>0</v>
      </c>
      <c r="E148" s="138">
        <f>$I$220</f>
        <v>0.1436314877910809</v>
      </c>
      <c r="F148" s="138">
        <f>$M$220</f>
        <v>0</v>
      </c>
      <c r="G148" s="138">
        <f>$O$220</f>
        <v>0</v>
      </c>
      <c r="H148" s="138">
        <f>$Q$220</f>
        <v>0</v>
      </c>
      <c r="I148" s="133"/>
      <c r="J148" s="133"/>
      <c r="K148" s="138">
        <v>0</v>
      </c>
      <c r="L148" s="138">
        <f>$L$220</f>
        <v>0</v>
      </c>
      <c r="M148" s="138">
        <f>$I$220</f>
        <v>0.1436314877910809</v>
      </c>
      <c r="N148" s="138">
        <f>$R$220</f>
        <v>0</v>
      </c>
      <c r="O148" s="138">
        <f>$Q$220</f>
        <v>0</v>
      </c>
      <c r="P148" s="138">
        <f>$O$220</f>
        <v>0</v>
      </c>
      <c r="Q148" s="133"/>
      <c r="R148" s="133"/>
      <c r="S148" s="138">
        <v>0</v>
      </c>
      <c r="T148" s="138">
        <f>$L$220</f>
        <v>0</v>
      </c>
      <c r="U148" s="138">
        <f>$I$220</f>
        <v>0.1436314877910809</v>
      </c>
      <c r="V148" s="138">
        <f>$R$220</f>
        <v>0</v>
      </c>
      <c r="W148" s="138">
        <f>$S$220</f>
        <v>0</v>
      </c>
      <c r="X148" s="138">
        <f>$O$220</f>
        <v>0</v>
      </c>
      <c r="Y148" s="133"/>
      <c r="Z148" s="133"/>
      <c r="AA148" s="138">
        <v>0</v>
      </c>
      <c r="AB148" s="138">
        <f>$L$220</f>
        <v>0</v>
      </c>
      <c r="AC148" s="138">
        <f>$I$220</f>
        <v>0.1436314877910809</v>
      </c>
      <c r="AD148" s="138">
        <f>$O$220</f>
        <v>0</v>
      </c>
      <c r="AE148" s="138">
        <f>$S$220</f>
        <v>0</v>
      </c>
      <c r="AF148" s="138">
        <f>$P$220</f>
        <v>0</v>
      </c>
      <c r="AG148" s="133"/>
      <c r="AH148" s="133"/>
      <c r="AI148" s="138">
        <v>0</v>
      </c>
      <c r="AJ148" s="138">
        <f>$L$220</f>
        <v>0</v>
      </c>
      <c r="AK148" s="138">
        <f>$I$220</f>
        <v>0.1436314877910809</v>
      </c>
      <c r="AL148" s="138">
        <f>$S$220</f>
        <v>0</v>
      </c>
      <c r="AM148" s="138">
        <f>$P$220</f>
        <v>0</v>
      </c>
      <c r="AN148" s="138">
        <f>$U$220</f>
        <v>0</v>
      </c>
      <c r="AO148" s="133"/>
      <c r="AP148" s="133"/>
      <c r="AQ148" s="138">
        <v>0</v>
      </c>
      <c r="AR148" s="138">
        <f>$L$220</f>
        <v>0</v>
      </c>
      <c r="AS148" s="138">
        <f>$U$220</f>
        <v>0</v>
      </c>
      <c r="AT148" s="138">
        <f>$S$220</f>
        <v>0</v>
      </c>
      <c r="AU148" s="138">
        <f>$T$220</f>
        <v>0</v>
      </c>
      <c r="AV148" s="138">
        <f>$V$220</f>
        <v>9.6502407488873232E-2</v>
      </c>
      <c r="AW148" s="133"/>
      <c r="AX148" s="133"/>
      <c r="AY148" s="138">
        <v>0</v>
      </c>
      <c r="AZ148" s="138">
        <f>$L$220</f>
        <v>0</v>
      </c>
      <c r="BA148" s="138">
        <f>$I$220</f>
        <v>0.1436314877910809</v>
      </c>
      <c r="BB148" s="138">
        <f>$S$220</f>
        <v>0</v>
      </c>
      <c r="BC148" s="138">
        <f>$V$220</f>
        <v>9.6502407488873232E-2</v>
      </c>
      <c r="BD148" s="139">
        <f>$U$220</f>
        <v>0</v>
      </c>
    </row>
    <row r="149" spans="1:56" hidden="1" outlineLevel="1" x14ac:dyDescent="0.2">
      <c r="A149" s="132"/>
      <c r="B149" s="133"/>
      <c r="C149" s="138">
        <v>0</v>
      </c>
      <c r="D149" s="138">
        <f>$L$221</f>
        <v>0.65356811475743049</v>
      </c>
      <c r="E149" s="138">
        <f>$I$221</f>
        <v>0.24373838184384281</v>
      </c>
      <c r="F149" s="138">
        <f>$M$221</f>
        <v>0.26953549681692768</v>
      </c>
      <c r="G149" s="138">
        <f>$O$221</f>
        <v>0.18063535716911364</v>
      </c>
      <c r="H149" s="138">
        <f>$Q$221</f>
        <v>0.17237923257436782</v>
      </c>
      <c r="I149" s="133"/>
      <c r="J149" s="133"/>
      <c r="K149" s="138">
        <v>0</v>
      </c>
      <c r="L149" s="138">
        <f>$L$221</f>
        <v>0.65356811475743049</v>
      </c>
      <c r="M149" s="138">
        <f>$I$221</f>
        <v>0.24373838184384281</v>
      </c>
      <c r="N149" s="138">
        <f>$R$221</f>
        <v>0.16378836637767183</v>
      </c>
      <c r="O149" s="138">
        <f>$Q$221</f>
        <v>0.17237923257436782</v>
      </c>
      <c r="P149" s="138">
        <f>$O$221</f>
        <v>0.18063535716911364</v>
      </c>
      <c r="Q149" s="133"/>
      <c r="R149" s="133"/>
      <c r="S149" s="138">
        <v>0</v>
      </c>
      <c r="T149" s="138">
        <f>$L$221</f>
        <v>0.65356811475743049</v>
      </c>
      <c r="U149" s="138">
        <f>$I$221</f>
        <v>0.24373838184384281</v>
      </c>
      <c r="V149" s="138">
        <f>$R$221</f>
        <v>0.16378836637767183</v>
      </c>
      <c r="W149" s="138">
        <f>$S$221</f>
        <v>8.1237104617828668E-2</v>
      </c>
      <c r="X149" s="138">
        <f>$O$221</f>
        <v>0.18063535716911364</v>
      </c>
      <c r="Y149" s="133"/>
      <c r="Z149" s="133"/>
      <c r="AA149" s="138">
        <v>0</v>
      </c>
      <c r="AB149" s="138">
        <f>$L$221</f>
        <v>0.65356811475743049</v>
      </c>
      <c r="AC149" s="138">
        <f>$I$221</f>
        <v>0.24373838184384281</v>
      </c>
      <c r="AD149" s="138">
        <f>$O$221</f>
        <v>0.18063535716911364</v>
      </c>
      <c r="AE149" s="138">
        <f>$S$221</f>
        <v>8.1237104617828668E-2</v>
      </c>
      <c r="AF149" s="138">
        <f>$P$221</f>
        <v>0.17936757986548366</v>
      </c>
      <c r="AG149" s="133"/>
      <c r="AH149" s="133"/>
      <c r="AI149" s="138">
        <v>0</v>
      </c>
      <c r="AJ149" s="138">
        <f>$L$221</f>
        <v>0.65356811475743049</v>
      </c>
      <c r="AK149" s="138">
        <f>$I$221</f>
        <v>0.24373838184384281</v>
      </c>
      <c r="AL149" s="138">
        <f>$S$221</f>
        <v>8.1237104617828668E-2</v>
      </c>
      <c r="AM149" s="138">
        <f>$P$221</f>
        <v>0.17936757986548366</v>
      </c>
      <c r="AN149" s="138">
        <f>$U$221</f>
        <v>0</v>
      </c>
      <c r="AO149" s="133"/>
      <c r="AP149" s="133"/>
      <c r="AQ149" s="138">
        <v>0</v>
      </c>
      <c r="AR149" s="138">
        <f>$L$221</f>
        <v>0.65356811475743049</v>
      </c>
      <c r="AS149" s="138">
        <f>$U$221</f>
        <v>0</v>
      </c>
      <c r="AT149" s="138">
        <f>$S$221</f>
        <v>8.1237104617828668E-2</v>
      </c>
      <c r="AU149" s="138">
        <f>$T$221</f>
        <v>0</v>
      </c>
      <c r="AV149" s="138">
        <f>$V$221</f>
        <v>0</v>
      </c>
      <c r="AW149" s="133"/>
      <c r="AX149" s="133"/>
      <c r="AY149" s="138">
        <v>0</v>
      </c>
      <c r="AZ149" s="138">
        <f>$L$221</f>
        <v>0.65356811475743049</v>
      </c>
      <c r="BA149" s="138">
        <f>$I$221</f>
        <v>0.24373838184384281</v>
      </c>
      <c r="BB149" s="138">
        <f>$S$221</f>
        <v>8.1237104617828668E-2</v>
      </c>
      <c r="BC149" s="138">
        <f>$V$221</f>
        <v>0</v>
      </c>
      <c r="BD149" s="139">
        <f>$U$221</f>
        <v>0</v>
      </c>
    </row>
    <row r="150" spans="1:56" hidden="1" outlineLevel="1" x14ac:dyDescent="0.2">
      <c r="A150" s="132"/>
      <c r="B150" s="133"/>
      <c r="C150" s="138">
        <v>0</v>
      </c>
      <c r="D150" s="138">
        <f>$L$222</f>
        <v>0</v>
      </c>
      <c r="E150" s="138">
        <f>$I$222</f>
        <v>0</v>
      </c>
      <c r="F150" s="138">
        <f>$M$222</f>
        <v>0</v>
      </c>
      <c r="G150" s="138">
        <f>$O$222</f>
        <v>8.8657613334625476E-2</v>
      </c>
      <c r="H150" s="138">
        <f>$Q$222</f>
        <v>0</v>
      </c>
      <c r="I150" s="133"/>
      <c r="J150" s="133"/>
      <c r="K150" s="138">
        <v>0</v>
      </c>
      <c r="L150" s="138">
        <f>$L$222</f>
        <v>0</v>
      </c>
      <c r="M150" s="138">
        <f>$I$222</f>
        <v>0</v>
      </c>
      <c r="N150" s="138">
        <f>$R$222</f>
        <v>0</v>
      </c>
      <c r="O150" s="138">
        <f>$Q$222</f>
        <v>0</v>
      </c>
      <c r="P150" s="138">
        <f>$O$222</f>
        <v>8.8657613334625476E-2</v>
      </c>
      <c r="Q150" s="133"/>
      <c r="R150" s="133"/>
      <c r="S150" s="138">
        <v>0</v>
      </c>
      <c r="T150" s="138">
        <f>$L$222</f>
        <v>0</v>
      </c>
      <c r="U150" s="138">
        <f>$I$222</f>
        <v>0</v>
      </c>
      <c r="V150" s="138">
        <f>$R$222</f>
        <v>0</v>
      </c>
      <c r="W150" s="138">
        <f>$S$222</f>
        <v>0</v>
      </c>
      <c r="X150" s="138">
        <f>$O$222</f>
        <v>8.8657613334625476E-2</v>
      </c>
      <c r="Y150" s="133"/>
      <c r="Z150" s="133"/>
      <c r="AA150" s="138">
        <v>0</v>
      </c>
      <c r="AB150" s="138">
        <f>$L$222</f>
        <v>0</v>
      </c>
      <c r="AC150" s="138">
        <f>$I$222</f>
        <v>0</v>
      </c>
      <c r="AD150" s="138">
        <f>$O$222</f>
        <v>8.8657613334625476E-2</v>
      </c>
      <c r="AE150" s="138">
        <f>$S$222</f>
        <v>0</v>
      </c>
      <c r="AF150" s="138">
        <f>$P$222</f>
        <v>0.17607075148187762</v>
      </c>
      <c r="AG150" s="133"/>
      <c r="AH150" s="133"/>
      <c r="AI150" s="138">
        <v>0</v>
      </c>
      <c r="AJ150" s="138">
        <f>$L$222</f>
        <v>0</v>
      </c>
      <c r="AK150" s="138">
        <f>$I$222</f>
        <v>0</v>
      </c>
      <c r="AL150" s="138">
        <f>$S$222</f>
        <v>0</v>
      </c>
      <c r="AM150" s="138">
        <f>$P$222</f>
        <v>0.17607075148187762</v>
      </c>
      <c r="AN150" s="138">
        <f>$U$222</f>
        <v>1</v>
      </c>
      <c r="AO150" s="133"/>
      <c r="AP150" s="133"/>
      <c r="AQ150" s="138">
        <v>0</v>
      </c>
      <c r="AR150" s="138">
        <f>$L$222</f>
        <v>0</v>
      </c>
      <c r="AS150" s="138">
        <f>$U$222</f>
        <v>1</v>
      </c>
      <c r="AT150" s="138">
        <f>$S$222</f>
        <v>0</v>
      </c>
      <c r="AU150" s="138">
        <f>$T$222</f>
        <v>0</v>
      </c>
      <c r="AV150" s="138">
        <f>$V$222</f>
        <v>0.16075173978593996</v>
      </c>
      <c r="AW150" s="133"/>
      <c r="AX150" s="133"/>
      <c r="AY150" s="138">
        <v>0</v>
      </c>
      <c r="AZ150" s="138">
        <f>$L$222</f>
        <v>0</v>
      </c>
      <c r="BA150" s="138">
        <f>$I$222</f>
        <v>0</v>
      </c>
      <c r="BB150" s="138">
        <f>$S$222</f>
        <v>0</v>
      </c>
      <c r="BC150" s="138">
        <f>$V$222</f>
        <v>0.16075173978593996</v>
      </c>
      <c r="BD150" s="139">
        <f>$U$222</f>
        <v>1</v>
      </c>
    </row>
    <row r="151" spans="1:56" hidden="1" outlineLevel="1" x14ac:dyDescent="0.2">
      <c r="A151" s="132"/>
      <c r="B151" s="133"/>
      <c r="C151" s="138">
        <v>0</v>
      </c>
      <c r="D151" s="138">
        <f>$L$223</f>
        <v>0</v>
      </c>
      <c r="E151" s="138">
        <f>$I$223</f>
        <v>0</v>
      </c>
      <c r="F151" s="138">
        <f>$M$223</f>
        <v>0</v>
      </c>
      <c r="G151" s="138">
        <f>$O$223</f>
        <v>0</v>
      </c>
      <c r="H151" s="138">
        <f>$Q$223</f>
        <v>0.1150828284510447</v>
      </c>
      <c r="I151" s="133"/>
      <c r="J151" s="133"/>
      <c r="K151" s="138">
        <v>0</v>
      </c>
      <c r="L151" s="138">
        <f>$L$223</f>
        <v>0</v>
      </c>
      <c r="M151" s="138">
        <f>$I$223</f>
        <v>0</v>
      </c>
      <c r="N151" s="138">
        <f>$R$223</f>
        <v>0.21869488787736116</v>
      </c>
      <c r="O151" s="138">
        <f>$Q$223</f>
        <v>0.1150828284510447</v>
      </c>
      <c r="P151" s="138">
        <f>$O$223</f>
        <v>0</v>
      </c>
      <c r="Q151" s="133"/>
      <c r="R151" s="133"/>
      <c r="S151" s="138">
        <v>0</v>
      </c>
      <c r="T151" s="138">
        <f>$L$223</f>
        <v>0</v>
      </c>
      <c r="U151" s="138">
        <f>$I$223</f>
        <v>0</v>
      </c>
      <c r="V151" s="138">
        <f>$R$223</f>
        <v>0.21869488787736116</v>
      </c>
      <c r="W151" s="138">
        <f>$S$223</f>
        <v>0.32541028179458237</v>
      </c>
      <c r="X151" s="138">
        <f>$O$223</f>
        <v>0</v>
      </c>
      <c r="Y151" s="133"/>
      <c r="Z151" s="133"/>
      <c r="AA151" s="138">
        <v>0</v>
      </c>
      <c r="AB151" s="138">
        <f>$L$223</f>
        <v>0</v>
      </c>
      <c r="AC151" s="138">
        <f>$I$223</f>
        <v>0</v>
      </c>
      <c r="AD151" s="138">
        <f>$O$223</f>
        <v>0</v>
      </c>
      <c r="AE151" s="138">
        <f>$S$223</f>
        <v>0.32541028179458237</v>
      </c>
      <c r="AF151" s="138">
        <f>$P$223</f>
        <v>0</v>
      </c>
      <c r="AG151" s="133"/>
      <c r="AH151" s="133"/>
      <c r="AI151" s="138">
        <v>0</v>
      </c>
      <c r="AJ151" s="138">
        <f>$L$223</f>
        <v>0</v>
      </c>
      <c r="AK151" s="138">
        <f>$I$223</f>
        <v>0</v>
      </c>
      <c r="AL151" s="138">
        <f>$S$223</f>
        <v>0.32541028179458237</v>
      </c>
      <c r="AM151" s="138">
        <f>$P$223</f>
        <v>0</v>
      </c>
      <c r="AN151" s="138">
        <f>$U$223</f>
        <v>0</v>
      </c>
      <c r="AO151" s="133"/>
      <c r="AP151" s="133"/>
      <c r="AQ151" s="138">
        <v>0</v>
      </c>
      <c r="AR151" s="138">
        <f>$L$223</f>
        <v>0</v>
      </c>
      <c r="AS151" s="138">
        <f>$U$223</f>
        <v>0</v>
      </c>
      <c r="AT151" s="138">
        <f>$S$223</f>
        <v>0.32541028179458237</v>
      </c>
      <c r="AU151" s="138">
        <f>$T$223</f>
        <v>0.79072946520505982</v>
      </c>
      <c r="AV151" s="138">
        <f>$V$223</f>
        <v>0.21865931964568422</v>
      </c>
      <c r="AW151" s="133"/>
      <c r="AX151" s="133"/>
      <c r="AY151" s="138">
        <v>0</v>
      </c>
      <c r="AZ151" s="138">
        <f>$L$223</f>
        <v>0</v>
      </c>
      <c r="BA151" s="138">
        <f>$I$223</f>
        <v>0</v>
      </c>
      <c r="BB151" s="138">
        <f>$S$223</f>
        <v>0.32541028179458237</v>
      </c>
      <c r="BC151" s="138">
        <f>$V$223</f>
        <v>0.21865931964568422</v>
      </c>
      <c r="BD151" s="139">
        <f>$U$223</f>
        <v>0</v>
      </c>
    </row>
    <row r="152" spans="1:56" hidden="1" outlineLevel="1" x14ac:dyDescent="0.2">
      <c r="A152" s="132"/>
      <c r="B152" s="133"/>
      <c r="C152" s="138">
        <v>1</v>
      </c>
      <c r="D152" s="138">
        <f>$L$224</f>
        <v>0.34643188524256951</v>
      </c>
      <c r="E152" s="138">
        <f>$I$224</f>
        <v>0.34452413950038913</v>
      </c>
      <c r="F152" s="138">
        <f>$M$224</f>
        <v>0.2857412661164993</v>
      </c>
      <c r="G152" s="138">
        <f>$O$224</f>
        <v>0.3829920457413164</v>
      </c>
      <c r="H152" s="138">
        <f>$Q$224</f>
        <v>0.38071562581487517</v>
      </c>
      <c r="I152" s="133"/>
      <c r="J152" s="133"/>
      <c r="K152" s="138">
        <v>1</v>
      </c>
      <c r="L152" s="138">
        <f>$L$224</f>
        <v>0.34643188524256951</v>
      </c>
      <c r="M152" s="138">
        <f>$I$224</f>
        <v>0.34452413950038913</v>
      </c>
      <c r="N152" s="138">
        <f>$R$224</f>
        <v>0.34727222007197794</v>
      </c>
      <c r="O152" s="138">
        <f>$Q$224</f>
        <v>0.38071562581487517</v>
      </c>
      <c r="P152" s="138">
        <f>$O$224</f>
        <v>0.3829920457413164</v>
      </c>
      <c r="Q152" s="133"/>
      <c r="R152" s="133"/>
      <c r="S152" s="138">
        <v>1</v>
      </c>
      <c r="T152" s="138">
        <f>$L$224</f>
        <v>0.34643188524256951</v>
      </c>
      <c r="U152" s="138">
        <f>$I$224</f>
        <v>0.34452413950038913</v>
      </c>
      <c r="V152" s="138">
        <f>$R$224</f>
        <v>0.34727222007197794</v>
      </c>
      <c r="W152" s="138">
        <f>$S$224</f>
        <v>0.45931450520405653</v>
      </c>
      <c r="X152" s="138">
        <f>$O$224</f>
        <v>0.3829920457413164</v>
      </c>
      <c r="Y152" s="133"/>
      <c r="Z152" s="133"/>
      <c r="AA152" s="138">
        <v>1</v>
      </c>
      <c r="AB152" s="138">
        <f>$L$224</f>
        <v>0.34643188524256951</v>
      </c>
      <c r="AC152" s="138">
        <f>$I$224</f>
        <v>0.34452413950038913</v>
      </c>
      <c r="AD152" s="138">
        <f>$O$224</f>
        <v>0.3829920457413164</v>
      </c>
      <c r="AE152" s="138">
        <f>$S$224</f>
        <v>0.45931450520405653</v>
      </c>
      <c r="AF152" s="138">
        <f>$P$224</f>
        <v>0.34861203795611073</v>
      </c>
      <c r="AG152" s="133"/>
      <c r="AH152" s="133"/>
      <c r="AI152" s="138">
        <v>1</v>
      </c>
      <c r="AJ152" s="138">
        <f>$L$224</f>
        <v>0.34643188524256951</v>
      </c>
      <c r="AK152" s="138">
        <f>$I$224</f>
        <v>0.34452413950038913</v>
      </c>
      <c r="AL152" s="138">
        <f>$S$224</f>
        <v>0.45931450520405653</v>
      </c>
      <c r="AM152" s="138">
        <f>$P$224</f>
        <v>0.34861203795611073</v>
      </c>
      <c r="AN152" s="138">
        <f>$U$224</f>
        <v>0</v>
      </c>
      <c r="AO152" s="133"/>
      <c r="AP152" s="133"/>
      <c r="AQ152" s="138">
        <v>1</v>
      </c>
      <c r="AR152" s="138">
        <f>$L$224</f>
        <v>0.34643188524256951</v>
      </c>
      <c r="AS152" s="138">
        <f>$U$224</f>
        <v>0</v>
      </c>
      <c r="AT152" s="138">
        <f>$S$224</f>
        <v>0.45931450520405653</v>
      </c>
      <c r="AU152" s="138">
        <f>$T$224</f>
        <v>0.20927053479494012</v>
      </c>
      <c r="AV152" s="138">
        <f>$V$224</f>
        <v>0.43401967525280682</v>
      </c>
      <c r="AW152" s="133"/>
      <c r="AX152" s="133"/>
      <c r="AY152" s="138">
        <v>1</v>
      </c>
      <c r="AZ152" s="138">
        <f>$L$224</f>
        <v>0.34643188524256951</v>
      </c>
      <c r="BA152" s="138">
        <f>$I$224</f>
        <v>0.34452413950038913</v>
      </c>
      <c r="BB152" s="138">
        <f>$S$224</f>
        <v>0.45931450520405653</v>
      </c>
      <c r="BC152" s="138">
        <f>$V$224</f>
        <v>0.43401967525280682</v>
      </c>
      <c r="BD152" s="139">
        <f>$U$224</f>
        <v>0</v>
      </c>
    </row>
    <row r="153" spans="1:56" hidden="1" outlineLevel="1" x14ac:dyDescent="0.2">
      <c r="A153" s="132"/>
      <c r="B153" s="133"/>
      <c r="C153" s="140">
        <f t="shared" ref="C153:H153" si="108">SUM(C147:C152)</f>
        <v>1</v>
      </c>
      <c r="D153" s="140">
        <f t="shared" si="108"/>
        <v>1</v>
      </c>
      <c r="E153" s="140">
        <f t="shared" si="108"/>
        <v>1</v>
      </c>
      <c r="F153" s="140">
        <f t="shared" si="108"/>
        <v>0.99999999999999989</v>
      </c>
      <c r="G153" s="140">
        <f t="shared" si="108"/>
        <v>1</v>
      </c>
      <c r="H153" s="140">
        <f t="shared" si="108"/>
        <v>1</v>
      </c>
      <c r="I153" s="133"/>
      <c r="J153" s="133"/>
      <c r="K153" s="140">
        <f t="shared" ref="K153:P153" si="109">SUM(K147:K152)</f>
        <v>1</v>
      </c>
      <c r="L153" s="140">
        <f t="shared" si="109"/>
        <v>1</v>
      </c>
      <c r="M153" s="140">
        <f t="shared" si="109"/>
        <v>1</v>
      </c>
      <c r="N153" s="140">
        <f t="shared" si="109"/>
        <v>0.99999999999999978</v>
      </c>
      <c r="O153" s="140">
        <f t="shared" si="109"/>
        <v>1</v>
      </c>
      <c r="P153" s="140">
        <f t="shared" si="109"/>
        <v>1</v>
      </c>
      <c r="Q153" s="133"/>
      <c r="R153" s="133"/>
      <c r="S153" s="140">
        <f t="shared" ref="S153:X153" si="110">SUM(S147:S152)</f>
        <v>1</v>
      </c>
      <c r="T153" s="140">
        <f t="shared" si="110"/>
        <v>1</v>
      </c>
      <c r="U153" s="140">
        <f t="shared" si="110"/>
        <v>1</v>
      </c>
      <c r="V153" s="140">
        <f t="shared" si="110"/>
        <v>0.99999999999999978</v>
      </c>
      <c r="W153" s="140">
        <f t="shared" si="110"/>
        <v>1</v>
      </c>
      <c r="X153" s="140">
        <f t="shared" si="110"/>
        <v>1</v>
      </c>
      <c r="Y153" s="133"/>
      <c r="Z153" s="133"/>
      <c r="AA153" s="140">
        <f t="shared" ref="AA153:AF153" si="111">SUM(AA147:AA152)</f>
        <v>1</v>
      </c>
      <c r="AB153" s="140">
        <f t="shared" si="111"/>
        <v>1</v>
      </c>
      <c r="AC153" s="140">
        <f t="shared" si="111"/>
        <v>1</v>
      </c>
      <c r="AD153" s="140">
        <f t="shared" si="111"/>
        <v>1</v>
      </c>
      <c r="AE153" s="140">
        <f t="shared" si="111"/>
        <v>1</v>
      </c>
      <c r="AF153" s="140">
        <f t="shared" si="111"/>
        <v>0.99999999999999989</v>
      </c>
      <c r="AG153" s="133"/>
      <c r="AH153" s="133"/>
      <c r="AI153" s="140">
        <f t="shared" ref="AI153:AN153" si="112">SUM(AI147:AI152)</f>
        <v>1</v>
      </c>
      <c r="AJ153" s="140">
        <f t="shared" si="112"/>
        <v>1</v>
      </c>
      <c r="AK153" s="140">
        <f t="shared" si="112"/>
        <v>1</v>
      </c>
      <c r="AL153" s="140">
        <f t="shared" si="112"/>
        <v>1</v>
      </c>
      <c r="AM153" s="140">
        <f t="shared" si="112"/>
        <v>0.99999999999999989</v>
      </c>
      <c r="AN153" s="140">
        <f t="shared" si="112"/>
        <v>1</v>
      </c>
      <c r="AO153" s="133"/>
      <c r="AP153" s="133"/>
      <c r="AQ153" s="140">
        <f t="shared" ref="AQ153:AV153" si="113">SUM(AQ147:AQ152)</f>
        <v>1</v>
      </c>
      <c r="AR153" s="140">
        <f t="shared" si="113"/>
        <v>1</v>
      </c>
      <c r="AS153" s="140">
        <f t="shared" si="113"/>
        <v>1</v>
      </c>
      <c r="AT153" s="140">
        <f t="shared" si="113"/>
        <v>1</v>
      </c>
      <c r="AU153" s="140">
        <f t="shared" si="113"/>
        <v>1</v>
      </c>
      <c r="AV153" s="140">
        <f t="shared" si="113"/>
        <v>1</v>
      </c>
      <c r="AW153" s="133"/>
      <c r="AX153" s="133"/>
      <c r="AY153" s="140">
        <f t="shared" ref="AY153:BD153" si="114">SUM(AY147:AY152)</f>
        <v>1</v>
      </c>
      <c r="AZ153" s="140">
        <f t="shared" si="114"/>
        <v>1</v>
      </c>
      <c r="BA153" s="140">
        <f t="shared" si="114"/>
        <v>1</v>
      </c>
      <c r="BB153" s="140">
        <f t="shared" si="114"/>
        <v>1</v>
      </c>
      <c r="BC153" s="140">
        <f t="shared" si="114"/>
        <v>1</v>
      </c>
      <c r="BD153" s="141">
        <f t="shared" si="114"/>
        <v>1</v>
      </c>
    </row>
    <row r="154" spans="1:56" hidden="1" outlineLevel="1" x14ac:dyDescent="0.2">
      <c r="A154" s="132"/>
      <c r="B154" s="142">
        <f t="array" ref="B154:B159">MMULT(C154:H159,$V$19:$V$24)</f>
        <v>-28.728534752352395</v>
      </c>
      <c r="C154" s="138">
        <f t="array" ref="C154:H159">MINVERSE(C147:H152)</f>
        <v>-0.32125740494388111</v>
      </c>
      <c r="D154" s="138">
        <v>-0.89950020221588667</v>
      </c>
      <c r="E154" s="138">
        <v>-0.53006240270938942</v>
      </c>
      <c r="F154" s="138">
        <v>-1.9799542798679552</v>
      </c>
      <c r="G154" s="138">
        <v>-1.5879302138361822</v>
      </c>
      <c r="H154" s="138">
        <v>1</v>
      </c>
      <c r="I154" s="133"/>
      <c r="J154" s="142">
        <f t="array" ref="J154:J159">MMULT(K154:P159,$V$19:$V$24)</f>
        <v>22.586231120360424</v>
      </c>
      <c r="K154" s="138">
        <f t="array" ref="K154:P159">MINVERSE(K147:P152)</f>
        <v>-0.8031435123597026</v>
      </c>
      <c r="L154" s="138">
        <v>0</v>
      </c>
      <c r="M154" s="138">
        <v>-0.53006240270938942</v>
      </c>
      <c r="N154" s="138">
        <v>-8.9997921812179804E-2</v>
      </c>
      <c r="O154" s="138">
        <v>-0.19849127672952305</v>
      </c>
      <c r="P154" s="138">
        <v>1</v>
      </c>
      <c r="Q154" s="133"/>
      <c r="R154" s="142">
        <f t="array" ref="R154:R159">MMULT(S154:X159,$V$19:$V$24)</f>
        <v>-33.772909235709797</v>
      </c>
      <c r="S154" s="138">
        <f t="array" ref="S154:X159">MINVERSE(S147:X152)</f>
        <v>0.10708580164796122</v>
      </c>
      <c r="T154" s="138">
        <v>-1.6990559375188981</v>
      </c>
      <c r="U154" s="138">
        <v>-0.53006240270938942</v>
      </c>
      <c r="V154" s="138">
        <v>-3.6599154870286474</v>
      </c>
      <c r="W154" s="138">
        <v>-1.3232751781968188</v>
      </c>
      <c r="X154" s="138">
        <v>1</v>
      </c>
      <c r="Y154" s="133"/>
      <c r="Z154" s="142">
        <f t="array" ref="Z154:Z159">MMULT(AA154:AF159,$V$19:$V$24)</f>
        <v>2.3018557519445082</v>
      </c>
      <c r="AA154" s="138">
        <f t="array" ref="AA154:AF159">MINVERSE(AA147:AF152)</f>
        <v>-0.80314351235970294</v>
      </c>
      <c r="AB154" s="138">
        <v>-2.2204460492503131E-16</v>
      </c>
      <c r="AC154" s="138">
        <v>-0.53006240270938942</v>
      </c>
      <c r="AD154" s="138">
        <v>-8.9997921812179804E-2</v>
      </c>
      <c r="AE154" s="138">
        <v>-0.94834721104105357</v>
      </c>
      <c r="AF154" s="138">
        <v>1</v>
      </c>
      <c r="AG154" s="133"/>
      <c r="AH154" s="142">
        <f t="array" ref="AH154:AH159">MMULT(AI154:AN159,$V$19:$V$24)</f>
        <v>3.4496688669805096</v>
      </c>
      <c r="AI154" s="138">
        <f t="array" ref="AI154:AN159">MINVERSE(AI147:AN152)</f>
        <v>-0.85668641318368322</v>
      </c>
      <c r="AJ154" s="138">
        <v>9.9944466912876617E-2</v>
      </c>
      <c r="AK154" s="138">
        <v>-0.53006240270938942</v>
      </c>
      <c r="AL154" s="138">
        <v>0</v>
      </c>
      <c r="AM154" s="138">
        <v>-0.9262926247377733</v>
      </c>
      <c r="AN154" s="138">
        <v>1</v>
      </c>
      <c r="AO154" s="133"/>
      <c r="AP154" s="142">
        <f t="array" ref="AP154:AP159">MMULT(AQ154:AV159,$V$19:$V$24)</f>
        <v>-12.485100169029899</v>
      </c>
      <c r="AQ154" s="138">
        <f t="array" ref="AQ154:AV159">MINVERSE(AQ147:AV152)</f>
        <v>-2.4629734379030888</v>
      </c>
      <c r="AR154" s="138">
        <v>-1.5991114706060201</v>
      </c>
      <c r="AS154" s="138">
        <v>-0.53006240270938942</v>
      </c>
      <c r="AT154" s="138">
        <v>0</v>
      </c>
      <c r="AU154" s="138">
        <v>-0.26465503563936371</v>
      </c>
      <c r="AV154" s="138">
        <v>1</v>
      </c>
      <c r="AW154" s="133"/>
      <c r="AX154" s="142">
        <f t="array" ref="AX154:AX159">MMULT(AY154:BD159,$V$19:$V$24)</f>
        <v>-3.6416975645998377</v>
      </c>
      <c r="AY154" s="138">
        <f t="array" ref="AY154:BD159">MINVERSE(AY147:BD152)</f>
        <v>5.3542900823979611E-2</v>
      </c>
      <c r="AZ154" s="138">
        <v>-1.5991114706060201</v>
      </c>
      <c r="BA154" s="138">
        <v>-0.53006240270938942</v>
      </c>
      <c r="BB154" s="138">
        <v>0</v>
      </c>
      <c r="BC154" s="138">
        <v>-1.3012205918935384</v>
      </c>
      <c r="BD154" s="139">
        <v>1</v>
      </c>
    </row>
    <row r="155" spans="1:56" hidden="1" outlineLevel="1" x14ac:dyDescent="0.2">
      <c r="A155" s="132"/>
      <c r="B155" s="142">
        <v>-2.2044143770880549</v>
      </c>
      <c r="C155" s="138">
        <v>-0.92733209219162549</v>
      </c>
      <c r="D155" s="138">
        <v>-0.86549019738378685</v>
      </c>
      <c r="E155" s="138">
        <v>1.5300624027093894</v>
      </c>
      <c r="F155" s="138">
        <v>0.51957066105023075</v>
      </c>
      <c r="G155" s="138">
        <v>0.38197268628153819</v>
      </c>
      <c r="H155" s="138">
        <v>0</v>
      </c>
      <c r="I155" s="133"/>
      <c r="J155" s="142">
        <v>-26.891694454662591</v>
      </c>
      <c r="K155" s="138">
        <v>-0.69549906914371917</v>
      </c>
      <c r="L155" s="138">
        <v>-1.2982352960756807</v>
      </c>
      <c r="M155" s="138">
        <v>1.5300624027093894</v>
      </c>
      <c r="N155" s="138">
        <v>-0.38967799578767326</v>
      </c>
      <c r="O155" s="138">
        <v>-0.28647951471115374</v>
      </c>
      <c r="P155" s="138">
        <v>0</v>
      </c>
      <c r="Q155" s="133"/>
      <c r="R155" s="142">
        <v>-12.537168969649453</v>
      </c>
      <c r="S155" s="138">
        <v>-0.9273320921916256</v>
      </c>
      <c r="T155" s="138">
        <v>-0.86549019738378707</v>
      </c>
      <c r="U155" s="138">
        <v>1.5300624027093894</v>
      </c>
      <c r="V155" s="138">
        <v>0.5195706610502322</v>
      </c>
      <c r="W155" s="138">
        <v>0</v>
      </c>
      <c r="X155" s="138">
        <v>0</v>
      </c>
      <c r="Y155" s="133"/>
      <c r="Z155" s="142">
        <v>-21.72531715838188</v>
      </c>
      <c r="AA155" s="138">
        <v>-0.69549906914371895</v>
      </c>
      <c r="AB155" s="138">
        <v>-1.2982352960756804</v>
      </c>
      <c r="AC155" s="138">
        <v>1.5300624027093894</v>
      </c>
      <c r="AD155" s="138">
        <v>-0.38967799578767326</v>
      </c>
      <c r="AE155" s="138">
        <v>-9.5493171570384644E-2</v>
      </c>
      <c r="AF155" s="138">
        <v>0</v>
      </c>
      <c r="AG155" s="133"/>
      <c r="AH155" s="142">
        <v>-16.755452241506617</v>
      </c>
      <c r="AI155" s="138">
        <v>-0.9273320921916256</v>
      </c>
      <c r="AJ155" s="138">
        <v>-0.86549019738378652</v>
      </c>
      <c r="AK155" s="138">
        <v>1.5300624027093894</v>
      </c>
      <c r="AL155" s="138">
        <v>0</v>
      </c>
      <c r="AM155" s="138">
        <v>0</v>
      </c>
      <c r="AN155" s="138">
        <v>0</v>
      </c>
      <c r="AO155" s="133"/>
      <c r="AP155" s="142">
        <v>-6.2720632141526522</v>
      </c>
      <c r="AQ155" s="138">
        <v>-0.92733209219162549</v>
      </c>
      <c r="AR155" s="138">
        <v>0.86549019738378685</v>
      </c>
      <c r="AS155" s="138">
        <v>1.5300624027093894</v>
      </c>
      <c r="AT155" s="138">
        <v>0</v>
      </c>
      <c r="AU155" s="138">
        <v>0</v>
      </c>
      <c r="AV155" s="138">
        <v>0</v>
      </c>
      <c r="AW155" s="133"/>
      <c r="AX155" s="142">
        <v>-9.5308423895770407</v>
      </c>
      <c r="AY155" s="138">
        <v>-1.854664184383251</v>
      </c>
      <c r="AZ155" s="138">
        <v>0.86549019738378685</v>
      </c>
      <c r="BA155" s="138">
        <v>1.5300624027093894</v>
      </c>
      <c r="BB155" s="138">
        <v>0</v>
      </c>
      <c r="BC155" s="138">
        <v>0.3819726862815383</v>
      </c>
      <c r="BD155" s="139">
        <v>0</v>
      </c>
    </row>
    <row r="156" spans="1:56" hidden="1" outlineLevel="1" x14ac:dyDescent="0.2">
      <c r="A156" s="132"/>
      <c r="B156" s="142">
        <v>42.165756277561549</v>
      </c>
      <c r="C156" s="138">
        <v>0</v>
      </c>
      <c r="D156" s="138">
        <v>6.9622616557070653</v>
      </c>
      <c r="E156" s="138">
        <v>0</v>
      </c>
      <c r="F156" s="138">
        <v>0</v>
      </c>
      <c r="G156" s="138">
        <v>1.6563942059548908E-15</v>
      </c>
      <c r="H156" s="138">
        <v>0</v>
      </c>
      <c r="I156" s="133"/>
      <c r="J156" s="142">
        <v>42.165756277561506</v>
      </c>
      <c r="K156" s="138">
        <v>0</v>
      </c>
      <c r="L156" s="138">
        <v>6.9622616557070653</v>
      </c>
      <c r="M156" s="138">
        <v>0</v>
      </c>
      <c r="N156" s="138">
        <v>0</v>
      </c>
      <c r="O156" s="138">
        <v>0</v>
      </c>
      <c r="P156" s="138">
        <v>0</v>
      </c>
      <c r="Q156" s="133"/>
      <c r="R156" s="142">
        <v>42.165756277561506</v>
      </c>
      <c r="S156" s="138">
        <v>-4.140985514887227E-16</v>
      </c>
      <c r="T156" s="138">
        <v>6.9622616557070662</v>
      </c>
      <c r="U156" s="138">
        <v>0</v>
      </c>
      <c r="V156" s="138">
        <v>-1.6563942059548908E-15</v>
      </c>
      <c r="W156" s="138">
        <v>4.140985514887227E-16</v>
      </c>
      <c r="X156" s="138">
        <v>0</v>
      </c>
      <c r="Y156" s="133"/>
      <c r="Z156" s="142">
        <v>42.165756277561506</v>
      </c>
      <c r="AA156" s="138">
        <v>-4.140985514887227E-16</v>
      </c>
      <c r="AB156" s="138">
        <v>6.9622616557070653</v>
      </c>
      <c r="AC156" s="138">
        <v>0</v>
      </c>
      <c r="AD156" s="138">
        <v>0</v>
      </c>
      <c r="AE156" s="138">
        <v>2.0704927574436135E-16</v>
      </c>
      <c r="AF156" s="138">
        <v>0</v>
      </c>
      <c r="AG156" s="133"/>
      <c r="AH156" s="142">
        <v>42.165756277561499</v>
      </c>
      <c r="AI156" s="138">
        <v>0</v>
      </c>
      <c r="AJ156" s="138">
        <v>6.9622616557070645</v>
      </c>
      <c r="AK156" s="138">
        <v>0</v>
      </c>
      <c r="AL156" s="138">
        <v>0</v>
      </c>
      <c r="AM156" s="138">
        <v>0</v>
      </c>
      <c r="AN156" s="138">
        <v>0</v>
      </c>
      <c r="AO156" s="133"/>
      <c r="AP156" s="142">
        <v>-1.9697248488803449</v>
      </c>
      <c r="AQ156" s="138">
        <v>0</v>
      </c>
      <c r="AR156" s="138">
        <v>-1.6657795796905346</v>
      </c>
      <c r="AS156" s="138">
        <v>0</v>
      </c>
      <c r="AT156" s="138">
        <v>1</v>
      </c>
      <c r="AU156" s="138">
        <v>0</v>
      </c>
      <c r="AV156" s="138">
        <v>0</v>
      </c>
      <c r="AW156" s="133"/>
      <c r="AX156" s="142">
        <v>13.1072965159264</v>
      </c>
      <c r="AY156" s="138">
        <v>3.7298681643585474</v>
      </c>
      <c r="AZ156" s="138">
        <v>0</v>
      </c>
      <c r="BA156" s="138">
        <v>0</v>
      </c>
      <c r="BB156" s="138">
        <v>0</v>
      </c>
      <c r="BC156" s="138">
        <v>-1.5363511887622889</v>
      </c>
      <c r="BD156" s="139">
        <v>0</v>
      </c>
    </row>
    <row r="157" spans="1:56" hidden="1" outlineLevel="1" x14ac:dyDescent="0.2">
      <c r="A157" s="132"/>
      <c r="B157" s="142">
        <v>-239.44629615516737</v>
      </c>
      <c r="C157" s="138">
        <v>2.2485894971355069</v>
      </c>
      <c r="D157" s="138">
        <v>-4.1972712561073919</v>
      </c>
      <c r="E157" s="138">
        <v>0</v>
      </c>
      <c r="F157" s="138">
        <v>-8.8189635504506754</v>
      </c>
      <c r="G157" s="138">
        <v>-6.4834361331633161</v>
      </c>
      <c r="H157" s="138">
        <v>0</v>
      </c>
      <c r="I157" s="133"/>
      <c r="J157" s="142">
        <v>295.53049686540999</v>
      </c>
      <c r="K157" s="138">
        <v>-2.7752643578339931</v>
      </c>
      <c r="L157" s="138">
        <v>5.1803752228119473</v>
      </c>
      <c r="M157" s="138">
        <v>0</v>
      </c>
      <c r="N157" s="138">
        <v>10.884581310097595</v>
      </c>
      <c r="O157" s="138">
        <v>8.0020160369791444</v>
      </c>
      <c r="P157" s="138">
        <v>0</v>
      </c>
      <c r="Q157" s="133"/>
      <c r="R157" s="142">
        <v>-219.98194948626269</v>
      </c>
      <c r="S157" s="138">
        <v>5.5505287156679888</v>
      </c>
      <c r="T157" s="138">
        <v>-10.360750445623902</v>
      </c>
      <c r="U157" s="138">
        <v>0</v>
      </c>
      <c r="V157" s="138">
        <v>-21.769162620195196</v>
      </c>
      <c r="W157" s="138">
        <v>-2.2862902962797569</v>
      </c>
      <c r="X157" s="138">
        <v>0</v>
      </c>
      <c r="Y157" s="133"/>
      <c r="Z157" s="142">
        <v>-107.89067971715951</v>
      </c>
      <c r="AA157" s="138">
        <v>5.0328576039545343</v>
      </c>
      <c r="AB157" s="138">
        <v>-9.3944530934037669</v>
      </c>
      <c r="AC157" s="138">
        <v>0</v>
      </c>
      <c r="AD157" s="138">
        <v>-8.4595103769512985</v>
      </c>
      <c r="AE157" s="138">
        <v>-2.0730589988658865</v>
      </c>
      <c r="AF157" s="138">
        <v>0</v>
      </c>
      <c r="AG157" s="133"/>
      <c r="AH157" s="142">
        <v>83.128995932105909</v>
      </c>
      <c r="AI157" s="138">
        <v>0</v>
      </c>
      <c r="AJ157" s="138">
        <v>0</v>
      </c>
      <c r="AK157" s="138">
        <v>0</v>
      </c>
      <c r="AL157" s="138">
        <v>0</v>
      </c>
      <c r="AM157" s="138">
        <v>3.07304364965105</v>
      </c>
      <c r="AN157" s="138">
        <v>0</v>
      </c>
      <c r="AO157" s="133"/>
      <c r="AP157" s="142">
        <v>67.176061057800695</v>
      </c>
      <c r="AQ157" s="138">
        <v>7.4605648502486446</v>
      </c>
      <c r="AR157" s="138">
        <v>-6.9630349248195182</v>
      </c>
      <c r="AS157" s="138">
        <v>0</v>
      </c>
      <c r="AT157" s="138">
        <v>0</v>
      </c>
      <c r="AU157" s="138">
        <v>0</v>
      </c>
      <c r="AV157" s="138">
        <v>0</v>
      </c>
      <c r="AW157" s="133"/>
      <c r="AX157" s="142">
        <v>54.067308769591556</v>
      </c>
      <c r="AY157" s="138">
        <v>3.7302824251243223</v>
      </c>
      <c r="AZ157" s="138">
        <v>-6.9630349248195182</v>
      </c>
      <c r="BA157" s="138">
        <v>0</v>
      </c>
      <c r="BB157" s="138">
        <v>0</v>
      </c>
      <c r="BC157" s="138">
        <v>1.536521824825525</v>
      </c>
      <c r="BD157" s="139">
        <v>0</v>
      </c>
    </row>
    <row r="158" spans="1:56" hidden="1" outlineLevel="1" x14ac:dyDescent="0.2">
      <c r="A158" s="132"/>
      <c r="B158" s="142">
        <v>91.574611594541878</v>
      </c>
      <c r="C158" s="138">
        <v>0</v>
      </c>
      <c r="D158" s="138">
        <v>0</v>
      </c>
      <c r="E158" s="138">
        <v>0</v>
      </c>
      <c r="F158" s="138">
        <v>11.279347169268398</v>
      </c>
      <c r="G158" s="138">
        <v>0</v>
      </c>
      <c r="H158" s="138">
        <v>0</v>
      </c>
      <c r="I158" s="133"/>
      <c r="J158" s="142">
        <v>-326.54723029109948</v>
      </c>
      <c r="K158" s="138">
        <v>5.2739069393374143</v>
      </c>
      <c r="L158" s="138">
        <v>-9.8444015824433304</v>
      </c>
      <c r="M158" s="138">
        <v>0</v>
      </c>
      <c r="N158" s="138">
        <v>-20.684252561766137</v>
      </c>
      <c r="O158" s="138">
        <v>-6.5170452455384664</v>
      </c>
      <c r="P158" s="138">
        <v>0</v>
      </c>
      <c r="Q158" s="133"/>
      <c r="R158" s="142">
        <v>230.96983093163013</v>
      </c>
      <c r="S158" s="138">
        <v>-3.7302824251243236</v>
      </c>
      <c r="T158" s="138">
        <v>6.96303492481952</v>
      </c>
      <c r="U158" s="138">
        <v>0</v>
      </c>
      <c r="V158" s="138">
        <v>14.630160276905212</v>
      </c>
      <c r="W158" s="138">
        <v>4.6095654744765753</v>
      </c>
      <c r="X158" s="138">
        <v>0</v>
      </c>
      <c r="Y158" s="133"/>
      <c r="Z158" s="142">
        <v>83.128995932105909</v>
      </c>
      <c r="AA158" s="138">
        <v>0</v>
      </c>
      <c r="AB158" s="138">
        <v>0</v>
      </c>
      <c r="AC158" s="138">
        <v>0</v>
      </c>
      <c r="AD158" s="138">
        <v>0</v>
      </c>
      <c r="AE158" s="138">
        <v>3.07304364965105</v>
      </c>
      <c r="AF158" s="138">
        <v>0</v>
      </c>
      <c r="AG158" s="133"/>
      <c r="AH158" s="142">
        <v>-26.324571276061462</v>
      </c>
      <c r="AI158" s="138">
        <v>3.3789533632681499</v>
      </c>
      <c r="AJ158" s="138">
        <v>-6.3072356450298441</v>
      </c>
      <c r="AK158" s="138">
        <v>0</v>
      </c>
      <c r="AL158" s="138">
        <v>0</v>
      </c>
      <c r="AM158" s="138">
        <v>-1.3918076424350334</v>
      </c>
      <c r="AN158" s="138">
        <v>0</v>
      </c>
      <c r="AO158" s="133"/>
      <c r="AP158" s="142">
        <v>-10.789335578826027</v>
      </c>
      <c r="AQ158" s="138">
        <v>-3.0702593201539301</v>
      </c>
      <c r="AR158" s="138">
        <v>0</v>
      </c>
      <c r="AS158" s="138">
        <v>0</v>
      </c>
      <c r="AT158" s="138">
        <v>0</v>
      </c>
      <c r="AU158" s="138">
        <v>1.2646550356393638</v>
      </c>
      <c r="AV158" s="138">
        <v>0</v>
      </c>
      <c r="AW158" s="133"/>
      <c r="AX158" s="142">
        <v>43.249799845274715</v>
      </c>
      <c r="AY158" s="138">
        <v>-5.5514315927628592</v>
      </c>
      <c r="AZ158" s="138">
        <v>10.362435777732285</v>
      </c>
      <c r="BA158" s="138">
        <v>0</v>
      </c>
      <c r="BB158" s="138">
        <v>0</v>
      </c>
      <c r="BC158" s="138">
        <v>2.2866621958313988</v>
      </c>
      <c r="BD158" s="139">
        <v>0</v>
      </c>
    </row>
    <row r="159" spans="1:56" hidden="1" outlineLevel="1" x14ac:dyDescent="0.2">
      <c r="A159" s="132"/>
      <c r="B159" s="142">
        <v>235.05704852461599</v>
      </c>
      <c r="C159" s="138">
        <v>0</v>
      </c>
      <c r="D159" s="138">
        <v>0</v>
      </c>
      <c r="E159" s="138">
        <v>0</v>
      </c>
      <c r="F159" s="138">
        <v>0</v>
      </c>
      <c r="G159" s="138">
        <v>8.6893936607179576</v>
      </c>
      <c r="H159" s="138">
        <v>0</v>
      </c>
      <c r="I159" s="133"/>
      <c r="J159" s="142">
        <v>91.574611594541878</v>
      </c>
      <c r="K159" s="138">
        <v>0</v>
      </c>
      <c r="L159" s="138">
        <v>0</v>
      </c>
      <c r="M159" s="138">
        <v>0</v>
      </c>
      <c r="N159" s="138">
        <v>11.279347169268398</v>
      </c>
      <c r="O159" s="138">
        <v>0</v>
      </c>
      <c r="P159" s="138">
        <v>0</v>
      </c>
      <c r="Q159" s="133"/>
      <c r="R159" s="142">
        <v>91.574611594541878</v>
      </c>
      <c r="S159" s="138">
        <v>0</v>
      </c>
      <c r="T159" s="138">
        <v>0</v>
      </c>
      <c r="U159" s="138">
        <v>0</v>
      </c>
      <c r="V159" s="138">
        <v>11.279347169268398</v>
      </c>
      <c r="W159" s="138">
        <v>0</v>
      </c>
      <c r="X159" s="138">
        <v>0</v>
      </c>
      <c r="Y159" s="133"/>
      <c r="Z159" s="142">
        <v>100.43756002604111</v>
      </c>
      <c r="AA159" s="138">
        <v>-2.5342150224511126</v>
      </c>
      <c r="AB159" s="138">
        <v>4.7304267337723838</v>
      </c>
      <c r="AC159" s="138">
        <v>0</v>
      </c>
      <c r="AD159" s="138">
        <v>9.9391862945511527</v>
      </c>
      <c r="AE159" s="138">
        <v>1.0438557318262749</v>
      </c>
      <c r="AF159" s="138">
        <v>0</v>
      </c>
      <c r="AG159" s="133"/>
      <c r="AH159" s="142">
        <v>12.753773553031795</v>
      </c>
      <c r="AI159" s="138">
        <v>-0.59493485789284095</v>
      </c>
      <c r="AJ159" s="138">
        <v>1.1105197197936898</v>
      </c>
      <c r="AK159" s="138">
        <v>0</v>
      </c>
      <c r="AL159" s="138">
        <v>1</v>
      </c>
      <c r="AM159" s="138">
        <v>0.24505661752175675</v>
      </c>
      <c r="AN159" s="138">
        <v>0</v>
      </c>
      <c r="AO159" s="133"/>
      <c r="AP159" s="142">
        <v>62.758333865199845</v>
      </c>
      <c r="AQ159" s="138">
        <v>0</v>
      </c>
      <c r="AR159" s="138">
        <v>10.362435777732285</v>
      </c>
      <c r="AS159" s="138">
        <v>0</v>
      </c>
      <c r="AT159" s="138">
        <v>0</v>
      </c>
      <c r="AU159" s="138">
        <v>0</v>
      </c>
      <c r="AV159" s="138">
        <v>0</v>
      </c>
      <c r="AW159" s="133"/>
      <c r="AX159" s="142">
        <v>1.1663059354958154</v>
      </c>
      <c r="AY159" s="138">
        <v>0.89240228683926137</v>
      </c>
      <c r="AZ159" s="138">
        <v>-1.6657795796905346</v>
      </c>
      <c r="BA159" s="138">
        <v>0</v>
      </c>
      <c r="BB159" s="138">
        <v>1</v>
      </c>
      <c r="BC159" s="138">
        <v>-0.36758492628263512</v>
      </c>
      <c r="BD159" s="139">
        <v>0</v>
      </c>
    </row>
    <row r="160" spans="1:56" hidden="1" outlineLevel="1" x14ac:dyDescent="0.2">
      <c r="A160" s="132"/>
      <c r="B160" s="143">
        <f>SUM(B154:B159)</f>
        <v>98.418171112111565</v>
      </c>
      <c r="C160" s="133"/>
      <c r="D160" s="133"/>
      <c r="E160" s="133"/>
      <c r="F160" s="133"/>
      <c r="G160" s="133"/>
      <c r="H160" s="133"/>
      <c r="I160" s="133"/>
      <c r="J160" s="143">
        <f>SUM(J154:J159)</f>
        <v>98.418171112111693</v>
      </c>
      <c r="K160" s="133"/>
      <c r="L160" s="133"/>
      <c r="M160" s="133"/>
      <c r="N160" s="133"/>
      <c r="O160" s="133"/>
      <c r="P160" s="133"/>
      <c r="Q160" s="133"/>
      <c r="R160" s="143">
        <f>SUM(R154:R159)</f>
        <v>98.41817111211158</v>
      </c>
      <c r="S160" s="133"/>
      <c r="T160" s="133"/>
      <c r="U160" s="133"/>
      <c r="V160" s="133"/>
      <c r="W160" s="133"/>
      <c r="X160" s="133"/>
      <c r="Y160" s="133"/>
      <c r="Z160" s="143">
        <f>SUM(Z154:Z159)</f>
        <v>98.418171112111636</v>
      </c>
      <c r="AA160" s="133"/>
      <c r="AB160" s="133"/>
      <c r="AC160" s="133"/>
      <c r="AD160" s="133"/>
      <c r="AE160" s="133"/>
      <c r="AF160" s="133"/>
      <c r="AG160" s="133"/>
      <c r="AH160" s="143">
        <f>SUM(AH154:AH159)</f>
        <v>98.418171112111622</v>
      </c>
      <c r="AI160" s="133"/>
      <c r="AJ160" s="133"/>
      <c r="AK160" s="133"/>
      <c r="AL160" s="133"/>
      <c r="AM160" s="133"/>
      <c r="AN160" s="133"/>
      <c r="AO160" s="133"/>
      <c r="AP160" s="143">
        <f>SUM(AP154:AP159)</f>
        <v>98.418171112111622</v>
      </c>
      <c r="AQ160" s="133"/>
      <c r="AR160" s="133"/>
      <c r="AS160" s="133"/>
      <c r="AT160" s="133"/>
      <c r="AU160" s="133"/>
      <c r="AV160" s="133"/>
      <c r="AW160" s="133"/>
      <c r="AX160" s="143">
        <f>SUM(AX154:AX159)</f>
        <v>98.418171112111608</v>
      </c>
      <c r="AY160" s="133"/>
      <c r="AZ160" s="133"/>
      <c r="BA160" s="133"/>
      <c r="BB160" s="133"/>
      <c r="BC160" s="133"/>
      <c r="BD160" s="134"/>
    </row>
    <row r="161" spans="1:72" hidden="1" outlineLevel="1" x14ac:dyDescent="0.2">
      <c r="A161" s="132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L161" s="133"/>
      <c r="M161" s="133"/>
      <c r="N161" s="133"/>
      <c r="O161" s="133"/>
      <c r="P161" s="133"/>
      <c r="Q161" s="133"/>
      <c r="R161" s="133"/>
      <c r="S161" s="133"/>
      <c r="T161" s="133"/>
      <c r="U161" s="133"/>
      <c r="V161" s="133"/>
      <c r="W161" s="133"/>
      <c r="X161" s="133"/>
      <c r="Y161" s="133"/>
      <c r="Z161" s="133"/>
      <c r="AA161" s="133"/>
      <c r="AB161" s="133"/>
      <c r="AC161" s="133"/>
      <c r="AD161" s="133"/>
      <c r="AE161" s="133"/>
      <c r="AF161" s="133"/>
      <c r="AG161" s="133"/>
      <c r="AH161" s="133"/>
      <c r="AI161" s="133"/>
      <c r="AJ161" s="133"/>
      <c r="AK161" s="133"/>
      <c r="AL161" s="133"/>
      <c r="AM161" s="133"/>
      <c r="AN161" s="133"/>
      <c r="AO161" s="133"/>
      <c r="AP161" s="133"/>
      <c r="AQ161" s="133"/>
      <c r="AR161" s="133"/>
      <c r="AS161" s="133"/>
      <c r="AT161" s="133"/>
      <c r="AU161" s="133"/>
      <c r="AV161" s="133"/>
      <c r="AW161" s="133"/>
      <c r="AX161" s="133"/>
      <c r="AY161" s="133"/>
      <c r="AZ161" s="133"/>
      <c r="BA161" s="133"/>
      <c r="BB161" s="133"/>
      <c r="BC161" s="133"/>
      <c r="BD161" s="134"/>
    </row>
    <row r="162" spans="1:72" ht="13.5" hidden="1" outlineLevel="1" thickBot="1" x14ac:dyDescent="0.25">
      <c r="A162" s="132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L162" s="133"/>
      <c r="M162" s="133"/>
      <c r="N162" s="133"/>
      <c r="O162" s="133"/>
      <c r="P162" s="133"/>
      <c r="Q162" s="133"/>
      <c r="R162" s="133"/>
      <c r="S162" s="133"/>
      <c r="T162" s="133"/>
      <c r="U162" s="133"/>
      <c r="V162" s="133"/>
      <c r="W162" s="133"/>
      <c r="X162" s="133"/>
      <c r="Y162" s="133"/>
      <c r="Z162" s="133"/>
      <c r="AA162" s="133"/>
      <c r="AB162" s="133"/>
      <c r="AC162" s="133"/>
      <c r="AD162" s="133"/>
      <c r="AE162" s="133"/>
      <c r="AF162" s="133"/>
      <c r="AG162" s="133"/>
      <c r="AH162" s="133"/>
      <c r="AI162" s="133"/>
      <c r="AJ162" s="133"/>
      <c r="AK162" s="133"/>
      <c r="AL162" s="133"/>
      <c r="AM162" s="133"/>
      <c r="AN162" s="133"/>
      <c r="AO162" s="133"/>
      <c r="AP162" s="133"/>
      <c r="AQ162" s="133"/>
      <c r="AR162" s="133"/>
      <c r="AS162" s="133"/>
      <c r="AT162" s="133"/>
      <c r="AU162" s="133"/>
      <c r="AV162" s="133"/>
      <c r="AW162" s="133"/>
      <c r="AX162" s="133"/>
      <c r="AY162" s="133"/>
      <c r="AZ162" s="133"/>
      <c r="BA162" s="133"/>
      <c r="BB162" s="133"/>
      <c r="BC162" s="133"/>
      <c r="BD162" s="134"/>
    </row>
    <row r="163" spans="1:72" hidden="1" outlineLevel="1" x14ac:dyDescent="0.2">
      <c r="A163" s="135" t="s">
        <v>64</v>
      </c>
      <c r="B163" s="136">
        <v>26</v>
      </c>
      <c r="C163" s="136" t="s">
        <v>59</v>
      </c>
      <c r="D163" s="136" t="str">
        <f>$U$218</f>
        <v>calcite</v>
      </c>
      <c r="E163" s="136" t="str">
        <f>$J$218</f>
        <v>Ca-stilbite</v>
      </c>
      <c r="F163" s="136" t="str">
        <f>$L$218</f>
        <v>AH3</v>
      </c>
      <c r="G163" s="136" t="str">
        <f>$T$218</f>
        <v>gypsum</v>
      </c>
      <c r="H163" s="136" t="str">
        <f>$V$218</f>
        <v>thaumasite</v>
      </c>
      <c r="I163" s="133" t="s">
        <v>65</v>
      </c>
      <c r="J163" s="136">
        <v>26</v>
      </c>
      <c r="K163" s="136" t="s">
        <v>59</v>
      </c>
      <c r="L163" s="136" t="str">
        <f>$K$218</f>
        <v>SiO2</v>
      </c>
      <c r="M163" s="136" t="str">
        <f>$U$218</f>
        <v>calcite</v>
      </c>
      <c r="N163" s="136" t="str">
        <f>$L$218</f>
        <v>AH3</v>
      </c>
      <c r="O163" s="136" t="str">
        <f>$T$218</f>
        <v>gypsum</v>
      </c>
      <c r="P163" s="136" t="str">
        <f>$V$218</f>
        <v>thaumasite</v>
      </c>
      <c r="Q163" s="133" t="s">
        <v>66</v>
      </c>
      <c r="R163" s="136">
        <v>26</v>
      </c>
      <c r="S163" s="136" t="s">
        <v>59</v>
      </c>
      <c r="T163" s="136" t="str">
        <f>$I$218</f>
        <v>strätlingite</v>
      </c>
      <c r="U163" s="136" t="str">
        <f>$J$218</f>
        <v>Ca-stilbite</v>
      </c>
      <c r="V163" s="136" t="str">
        <f>$U$218</f>
        <v>calcite</v>
      </c>
      <c r="W163" s="136" t="str">
        <f>$T$218</f>
        <v>gypsum</v>
      </c>
      <c r="X163" s="136" t="str">
        <f>$V$218</f>
        <v>thaumasite</v>
      </c>
      <c r="Y163" s="133" t="s">
        <v>67</v>
      </c>
      <c r="Z163" s="136">
        <v>26</v>
      </c>
      <c r="AA163" s="136" t="s">
        <v>59</v>
      </c>
      <c r="AB163" s="136" t="str">
        <f>$K$218</f>
        <v>SiO2</v>
      </c>
      <c r="AC163" s="136" t="str">
        <f>$J$218</f>
        <v>Ca-stilbite</v>
      </c>
      <c r="AD163" s="136" t="str">
        <f>$U$218</f>
        <v>calcite</v>
      </c>
      <c r="AE163" s="136" t="str">
        <f>$T$218</f>
        <v>gypsum</v>
      </c>
      <c r="AF163" s="136" t="str">
        <f>$V$218</f>
        <v>thaumasite</v>
      </c>
      <c r="AG163" s="133" t="s">
        <v>68</v>
      </c>
      <c r="AH163" s="136">
        <v>26</v>
      </c>
      <c r="AI163" s="136" t="s">
        <v>59</v>
      </c>
      <c r="AJ163" s="136" t="str">
        <f>$K$218</f>
        <v>SiO2</v>
      </c>
      <c r="AK163" s="136" t="str">
        <f>$U$218</f>
        <v>calcite</v>
      </c>
      <c r="AL163" s="136" t="str">
        <f>$G$218</f>
        <v>C0.67A0.05SH1.8</v>
      </c>
      <c r="AM163" s="136" t="str">
        <f>$T$218</f>
        <v>gypsum</v>
      </c>
      <c r="AN163" s="136" t="str">
        <f>$V$218</f>
        <v>thaumasite</v>
      </c>
      <c r="AO163" s="133" t="s">
        <v>69</v>
      </c>
      <c r="AP163" s="136">
        <v>26</v>
      </c>
      <c r="AQ163" s="136" t="s">
        <v>59</v>
      </c>
      <c r="AR163" s="136" t="str">
        <f>$U$218</f>
        <v>calcite</v>
      </c>
      <c r="AS163" s="136" t="str">
        <f>$I$218</f>
        <v>strätlingite</v>
      </c>
      <c r="AT163" s="136" t="str">
        <f>$G$218</f>
        <v>C0.67A0.05SH1.8</v>
      </c>
      <c r="AU163" s="136" t="str">
        <f>$T$218</f>
        <v>gypsum</v>
      </c>
      <c r="AV163" s="136" t="str">
        <f>$V$218</f>
        <v>thaumasite</v>
      </c>
      <c r="AW163" s="138" t="s">
        <v>70</v>
      </c>
      <c r="AX163" s="136">
        <v>26</v>
      </c>
      <c r="AY163" s="136" t="s">
        <v>59</v>
      </c>
      <c r="AZ163" s="136" t="str">
        <f>$U$218</f>
        <v>calcite</v>
      </c>
      <c r="BA163" s="136" t="str">
        <f>$H$218</f>
        <v>C0.67SH1.8</v>
      </c>
      <c r="BB163" s="136" t="str">
        <f>$G$218</f>
        <v>C0.67A0.05SH1.8</v>
      </c>
      <c r="BC163" s="136" t="str">
        <f>$T$218</f>
        <v>gypsum</v>
      </c>
      <c r="BD163" s="136" t="str">
        <f>$V$218</f>
        <v>thaumasite</v>
      </c>
      <c r="BE163" s="189" t="s">
        <v>71</v>
      </c>
      <c r="BF163" s="190">
        <v>26</v>
      </c>
      <c r="BG163" s="190" t="s">
        <v>59</v>
      </c>
      <c r="BH163" s="190" t="str">
        <f>$F$218</f>
        <v>C1.3A0.1SH3</v>
      </c>
      <c r="BI163" s="190" t="str">
        <f>$E$218</f>
        <v>C1.75A0.05SH4.3</v>
      </c>
      <c r="BJ163" s="136" t="str">
        <f>$U$218</f>
        <v>calcite</v>
      </c>
      <c r="BK163" s="190" t="str">
        <f>$T$218</f>
        <v>gypsum</v>
      </c>
      <c r="BL163" s="190" t="str">
        <f>$V$218</f>
        <v>thaumasite</v>
      </c>
      <c r="BM163" s="191" t="s">
        <v>72</v>
      </c>
      <c r="BN163" s="190">
        <v>26</v>
      </c>
      <c r="BO163" s="190" t="s">
        <v>59</v>
      </c>
      <c r="BP163" s="190" t="str">
        <f>$F$218</f>
        <v>C1.3A0.1SH3</v>
      </c>
      <c r="BQ163" s="190" t="str">
        <f>$H$218</f>
        <v>C0.67SH1.8</v>
      </c>
      <c r="BR163" s="136" t="str">
        <f>$U$218</f>
        <v>calcite</v>
      </c>
      <c r="BS163" s="190" t="str">
        <f>$T$218</f>
        <v>gypsum</v>
      </c>
      <c r="BT163" s="192" t="str">
        <f>$V$218</f>
        <v>thaumasite</v>
      </c>
    </row>
    <row r="164" spans="1:72" hidden="1" outlineLevel="1" x14ac:dyDescent="0.2">
      <c r="A164" s="132"/>
      <c r="B164" s="133"/>
      <c r="C164" s="138">
        <v>0</v>
      </c>
      <c r="D164" s="138">
        <f>$U$219</f>
        <v>0</v>
      </c>
      <c r="E164" s="138">
        <f>$J$219</f>
        <v>8.8921476117117551E-2</v>
      </c>
      <c r="F164" s="138">
        <f>$L$219</f>
        <v>0</v>
      </c>
      <c r="G164" s="138">
        <f>$T$219</f>
        <v>0</v>
      </c>
      <c r="H164" s="138">
        <f>$V$219</f>
        <v>9.0066857826695823E-2</v>
      </c>
      <c r="I164" s="133"/>
      <c r="J164" s="133"/>
      <c r="K164" s="138">
        <v>0</v>
      </c>
      <c r="L164" s="138">
        <f>$K$219</f>
        <v>0</v>
      </c>
      <c r="M164" s="138">
        <f>$U$219</f>
        <v>0</v>
      </c>
      <c r="N164" s="138">
        <f>$L$219</f>
        <v>0</v>
      </c>
      <c r="O164" s="138">
        <f>$T$219</f>
        <v>0</v>
      </c>
      <c r="P164" s="138">
        <f>$V$219</f>
        <v>9.0066857826695823E-2</v>
      </c>
      <c r="Q164" s="133"/>
      <c r="R164" s="133"/>
      <c r="S164" s="138">
        <v>0</v>
      </c>
      <c r="T164" s="138">
        <f>$I$219</f>
        <v>0.26810599086468712</v>
      </c>
      <c r="U164" s="138">
        <f>$J$219</f>
        <v>8.8921476117117551E-2</v>
      </c>
      <c r="V164" s="138">
        <f>$U$219</f>
        <v>0</v>
      </c>
      <c r="W164" s="138">
        <f>$T$219</f>
        <v>0</v>
      </c>
      <c r="X164" s="138">
        <f>$V$219</f>
        <v>9.0066857826695823E-2</v>
      </c>
      <c r="Y164" s="133"/>
      <c r="Z164" s="133"/>
      <c r="AA164" s="138">
        <v>0</v>
      </c>
      <c r="AB164" s="138">
        <f>$K$219</f>
        <v>0</v>
      </c>
      <c r="AC164" s="138">
        <f>$J$219</f>
        <v>8.8921476117117551E-2</v>
      </c>
      <c r="AD164" s="138">
        <f>$U$219</f>
        <v>0</v>
      </c>
      <c r="AE164" s="138">
        <f>$T$219</f>
        <v>0</v>
      </c>
      <c r="AF164" s="138">
        <f>$V$219</f>
        <v>9.0066857826695823E-2</v>
      </c>
      <c r="AG164" s="133"/>
      <c r="AH164" s="133"/>
      <c r="AI164" s="138">
        <v>0</v>
      </c>
      <c r="AJ164" s="138">
        <f>$K$219</f>
        <v>0</v>
      </c>
      <c r="AK164" s="138">
        <f>$U$219</f>
        <v>0</v>
      </c>
      <c r="AL164" s="138">
        <f>$G$219</f>
        <v>0.26974658269181312</v>
      </c>
      <c r="AM164" s="138">
        <f>$T$219</f>
        <v>0</v>
      </c>
      <c r="AN164" s="138">
        <f>$V$219</f>
        <v>9.0066857826695823E-2</v>
      </c>
      <c r="AO164" s="133"/>
      <c r="AP164" s="133"/>
      <c r="AQ164" s="138">
        <v>0</v>
      </c>
      <c r="AR164" s="138">
        <f>$U$219</f>
        <v>0</v>
      </c>
      <c r="AS164" s="138">
        <f>$I$219</f>
        <v>0.26810599086468712</v>
      </c>
      <c r="AT164" s="138">
        <f>$G$219</f>
        <v>0.26974658269181312</v>
      </c>
      <c r="AU164" s="138">
        <f>$T$219</f>
        <v>0</v>
      </c>
      <c r="AV164" s="138">
        <f>$V$219</f>
        <v>9.0066857826695823E-2</v>
      </c>
      <c r="AW164" s="133"/>
      <c r="AX164" s="133"/>
      <c r="AY164" s="138">
        <v>0</v>
      </c>
      <c r="AZ164" s="138">
        <f>$U$219</f>
        <v>0</v>
      </c>
      <c r="BA164" s="138">
        <f>$H$219</f>
        <v>0.28004746800509844</v>
      </c>
      <c r="BB164" s="138">
        <f>$G$219</f>
        <v>0.26974658269181312</v>
      </c>
      <c r="BC164" s="138">
        <f>$T$219</f>
        <v>0</v>
      </c>
      <c r="BD164" s="138">
        <f>$V$219</f>
        <v>9.0066857826695823E-2</v>
      </c>
      <c r="BE164" s="132"/>
      <c r="BF164" s="133"/>
      <c r="BG164" s="138">
        <v>0</v>
      </c>
      <c r="BH164" s="138">
        <f>$F$219</f>
        <v>0.36962820238752458</v>
      </c>
      <c r="BI164" s="138">
        <f>$E$219</f>
        <v>0.41692537379616368</v>
      </c>
      <c r="BJ164" s="138">
        <f>$U$219</f>
        <v>0</v>
      </c>
      <c r="BK164" s="138">
        <f>$T$219</f>
        <v>0</v>
      </c>
      <c r="BL164" s="138">
        <f>$V$219</f>
        <v>9.0066857826695823E-2</v>
      </c>
      <c r="BM164" s="133"/>
      <c r="BN164" s="133"/>
      <c r="BO164" s="138">
        <v>0</v>
      </c>
      <c r="BP164" s="138">
        <f>$F$219</f>
        <v>0.36962820238752458</v>
      </c>
      <c r="BQ164" s="138">
        <f>$H$219</f>
        <v>0.28004746800509844</v>
      </c>
      <c r="BR164" s="138">
        <f>$U$219</f>
        <v>0</v>
      </c>
      <c r="BS164" s="138">
        <f>$T$219</f>
        <v>0</v>
      </c>
      <c r="BT164" s="139">
        <f>$V$219</f>
        <v>9.0066857826695823E-2</v>
      </c>
    </row>
    <row r="165" spans="1:72" hidden="1" outlineLevel="1" x14ac:dyDescent="0.2">
      <c r="A165" s="132"/>
      <c r="B165" s="133"/>
      <c r="C165" s="138">
        <v>0</v>
      </c>
      <c r="D165" s="138">
        <f>$U$220</f>
        <v>0</v>
      </c>
      <c r="E165" s="138">
        <f>$J$220</f>
        <v>0.57165110873154523</v>
      </c>
      <c r="F165" s="138">
        <f>$L$220</f>
        <v>0</v>
      </c>
      <c r="G165" s="138">
        <f>$T$220</f>
        <v>0</v>
      </c>
      <c r="H165" s="138">
        <f>$V$220</f>
        <v>9.6502407488873232E-2</v>
      </c>
      <c r="I165" s="133"/>
      <c r="J165" s="133"/>
      <c r="K165" s="138">
        <v>0</v>
      </c>
      <c r="L165" s="138">
        <f>$K$220</f>
        <v>0.99999999999999989</v>
      </c>
      <c r="M165" s="138">
        <f>$U$220</f>
        <v>0</v>
      </c>
      <c r="N165" s="138">
        <f>$L$220</f>
        <v>0</v>
      </c>
      <c r="O165" s="138">
        <f>$T$220</f>
        <v>0</v>
      </c>
      <c r="P165" s="138">
        <f>$V$220</f>
        <v>9.6502407488873232E-2</v>
      </c>
      <c r="Q165" s="133"/>
      <c r="R165" s="133"/>
      <c r="S165" s="138">
        <v>0</v>
      </c>
      <c r="T165" s="138">
        <f>$I$220</f>
        <v>0.1436314877910809</v>
      </c>
      <c r="U165" s="138">
        <f>$J$220</f>
        <v>0.57165110873154523</v>
      </c>
      <c r="V165" s="138">
        <f>$U$220</f>
        <v>0</v>
      </c>
      <c r="W165" s="138">
        <f>$T$220</f>
        <v>0</v>
      </c>
      <c r="X165" s="138">
        <f>$V$220</f>
        <v>9.6502407488873232E-2</v>
      </c>
      <c r="Y165" s="133"/>
      <c r="Z165" s="133"/>
      <c r="AA165" s="138">
        <v>0</v>
      </c>
      <c r="AB165" s="138">
        <f>$K$220</f>
        <v>0.99999999999999989</v>
      </c>
      <c r="AC165" s="138">
        <f>$J$220</f>
        <v>0.57165110873154523</v>
      </c>
      <c r="AD165" s="138">
        <f>$U$220</f>
        <v>0</v>
      </c>
      <c r="AE165" s="138">
        <f>$T$220</f>
        <v>0</v>
      </c>
      <c r="AF165" s="138">
        <f>$V$220</f>
        <v>9.6502407488873232E-2</v>
      </c>
      <c r="AG165" s="133"/>
      <c r="AH165" s="133"/>
      <c r="AI165" s="138">
        <v>0</v>
      </c>
      <c r="AJ165" s="138">
        <f>$K$220</f>
        <v>0.99999999999999989</v>
      </c>
      <c r="AK165" s="138">
        <f>$U$220</f>
        <v>0</v>
      </c>
      <c r="AL165" s="138">
        <f>$G$220</f>
        <v>0.43350951351747569</v>
      </c>
      <c r="AM165" s="138">
        <f>$T$220</f>
        <v>0</v>
      </c>
      <c r="AN165" s="138">
        <f>$V$220</f>
        <v>9.6502407488873232E-2</v>
      </c>
      <c r="AO165" s="133"/>
      <c r="AP165" s="133"/>
      <c r="AQ165" s="138">
        <v>0</v>
      </c>
      <c r="AR165" s="138">
        <f>$U$220</f>
        <v>0</v>
      </c>
      <c r="AS165" s="138">
        <f>$I$220</f>
        <v>0.1436314877910809</v>
      </c>
      <c r="AT165" s="138">
        <f>$G$220</f>
        <v>0.43350951351747569</v>
      </c>
      <c r="AU165" s="138">
        <f>$T$220</f>
        <v>0</v>
      </c>
      <c r="AV165" s="138">
        <f>$V$220</f>
        <v>9.6502407488873232E-2</v>
      </c>
      <c r="AW165" s="133"/>
      <c r="AX165" s="133"/>
      <c r="AY165" s="138">
        <v>0</v>
      </c>
      <c r="AZ165" s="138">
        <f>$U$220</f>
        <v>0</v>
      </c>
      <c r="BA165" s="138">
        <f>$H$220</f>
        <v>0.45006405792133763</v>
      </c>
      <c r="BB165" s="138">
        <f>$G$220</f>
        <v>0.43350951351747569</v>
      </c>
      <c r="BC165" s="138">
        <f>$T$220</f>
        <v>0</v>
      </c>
      <c r="BD165" s="138">
        <f>$V$220</f>
        <v>9.6502407488873232E-2</v>
      </c>
      <c r="BE165" s="132"/>
      <c r="BF165" s="133"/>
      <c r="BG165" s="138">
        <v>0</v>
      </c>
      <c r="BH165" s="138">
        <f>$F$220</f>
        <v>0.30464558189920393</v>
      </c>
      <c r="BI165" s="138">
        <f>$E$220</f>
        <v>0.25526625940759262</v>
      </c>
      <c r="BJ165" s="138">
        <f>$U$220</f>
        <v>0</v>
      </c>
      <c r="BK165" s="138">
        <f>$T$220</f>
        <v>0</v>
      </c>
      <c r="BL165" s="138">
        <f>$V$220</f>
        <v>9.6502407488873232E-2</v>
      </c>
      <c r="BM165" s="133"/>
      <c r="BN165" s="133"/>
      <c r="BO165" s="138">
        <v>0</v>
      </c>
      <c r="BP165" s="138">
        <f>$F$220</f>
        <v>0.30464558189920393</v>
      </c>
      <c r="BQ165" s="138">
        <f>$H$220</f>
        <v>0.45006405792133763</v>
      </c>
      <c r="BR165" s="138">
        <f>$U$220</f>
        <v>0</v>
      </c>
      <c r="BS165" s="138">
        <f>$T$220</f>
        <v>0</v>
      </c>
      <c r="BT165" s="139">
        <f>$V$220</f>
        <v>9.6502407488873232E-2</v>
      </c>
    </row>
    <row r="166" spans="1:72" hidden="1" outlineLevel="1" x14ac:dyDescent="0.2">
      <c r="A166" s="132"/>
      <c r="B166" s="133"/>
      <c r="C166" s="138">
        <v>0</v>
      </c>
      <c r="D166" s="138">
        <f>$U$221</f>
        <v>0</v>
      </c>
      <c r="E166" s="138">
        <f>$J$221</f>
        <v>0.16167916748186939</v>
      </c>
      <c r="F166" s="138">
        <f>$L$221</f>
        <v>0.65356811475743049</v>
      </c>
      <c r="G166" s="138">
        <f>$T$221</f>
        <v>0</v>
      </c>
      <c r="H166" s="138">
        <f>$V$221</f>
        <v>0</v>
      </c>
      <c r="I166" s="133"/>
      <c r="J166" s="133"/>
      <c r="K166" s="138">
        <v>0</v>
      </c>
      <c r="L166" s="138">
        <f>$K$221</f>
        <v>0</v>
      </c>
      <c r="M166" s="138">
        <f>$U$221</f>
        <v>0</v>
      </c>
      <c r="N166" s="138">
        <f>$L$221</f>
        <v>0.65356811475743049</v>
      </c>
      <c r="O166" s="138">
        <f>$T$221</f>
        <v>0</v>
      </c>
      <c r="P166" s="138">
        <f>$V$221</f>
        <v>0</v>
      </c>
      <c r="Q166" s="133"/>
      <c r="R166" s="133"/>
      <c r="S166" s="138">
        <v>0</v>
      </c>
      <c r="T166" s="138">
        <f>$I$221</f>
        <v>0.24373838184384281</v>
      </c>
      <c r="U166" s="138">
        <f>$J$221</f>
        <v>0.16167916748186939</v>
      </c>
      <c r="V166" s="138">
        <f>$U$221</f>
        <v>0</v>
      </c>
      <c r="W166" s="138">
        <f>$T$221</f>
        <v>0</v>
      </c>
      <c r="X166" s="138">
        <f>$V$221</f>
        <v>0</v>
      </c>
      <c r="Y166" s="133"/>
      <c r="Z166" s="133"/>
      <c r="AA166" s="138">
        <v>0</v>
      </c>
      <c r="AB166" s="138">
        <f>$K$221</f>
        <v>0</v>
      </c>
      <c r="AC166" s="138">
        <f>$J$221</f>
        <v>0.16167916748186939</v>
      </c>
      <c r="AD166" s="138">
        <f>$U$221</f>
        <v>0</v>
      </c>
      <c r="AE166" s="138">
        <f>$T$221</f>
        <v>0</v>
      </c>
      <c r="AF166" s="138">
        <f>$V$221</f>
        <v>0</v>
      </c>
      <c r="AG166" s="133"/>
      <c r="AH166" s="133"/>
      <c r="AI166" s="138">
        <v>0</v>
      </c>
      <c r="AJ166" s="138">
        <f>$K$221</f>
        <v>0</v>
      </c>
      <c r="AK166" s="138">
        <f>$U$221</f>
        <v>0</v>
      </c>
      <c r="AL166" s="138">
        <f>$G$221</f>
        <v>3.6782640409724413E-2</v>
      </c>
      <c r="AM166" s="138">
        <f>$T$221</f>
        <v>0</v>
      </c>
      <c r="AN166" s="138">
        <f>$V$221</f>
        <v>0</v>
      </c>
      <c r="AO166" s="133"/>
      <c r="AP166" s="133"/>
      <c r="AQ166" s="138">
        <v>0</v>
      </c>
      <c r="AR166" s="138">
        <f>$U$221</f>
        <v>0</v>
      </c>
      <c r="AS166" s="138">
        <f>$I$221</f>
        <v>0.24373838184384281</v>
      </c>
      <c r="AT166" s="138">
        <f>$G$221</f>
        <v>3.6782640409724413E-2</v>
      </c>
      <c r="AU166" s="138">
        <f>$T$221</f>
        <v>0</v>
      </c>
      <c r="AV166" s="138">
        <f>$V$221</f>
        <v>0</v>
      </c>
      <c r="AW166" s="133"/>
      <c r="AX166" s="133"/>
      <c r="AY166" s="138">
        <v>0</v>
      </c>
      <c r="AZ166" s="138">
        <f>$U$221</f>
        <v>0</v>
      </c>
      <c r="BA166" s="138">
        <f>$H$221</f>
        <v>0</v>
      </c>
      <c r="BB166" s="138">
        <f>$G$221</f>
        <v>3.6782640409724413E-2</v>
      </c>
      <c r="BC166" s="138">
        <f>$T$221</f>
        <v>0</v>
      </c>
      <c r="BD166" s="138">
        <f>$V$221</f>
        <v>0</v>
      </c>
      <c r="BE166" s="132"/>
      <c r="BF166" s="133"/>
      <c r="BG166" s="138">
        <v>0</v>
      </c>
      <c r="BH166" s="138">
        <f>$F$221</f>
        <v>5.169745319076114E-2</v>
      </c>
      <c r="BI166" s="138">
        <f>$E$221</f>
        <v>2.1658964188213614E-2</v>
      </c>
      <c r="BJ166" s="138">
        <f>$U$221</f>
        <v>0</v>
      </c>
      <c r="BK166" s="138">
        <f>$T$221</f>
        <v>0</v>
      </c>
      <c r="BL166" s="138">
        <f>$V$221</f>
        <v>0</v>
      </c>
      <c r="BM166" s="133"/>
      <c r="BN166" s="133"/>
      <c r="BO166" s="138">
        <v>0</v>
      </c>
      <c r="BP166" s="138">
        <f>$F$221</f>
        <v>5.169745319076114E-2</v>
      </c>
      <c r="BQ166" s="138">
        <f>$H$221</f>
        <v>0</v>
      </c>
      <c r="BR166" s="138">
        <f>$U$221</f>
        <v>0</v>
      </c>
      <c r="BS166" s="138">
        <f>$T$221</f>
        <v>0</v>
      </c>
      <c r="BT166" s="139">
        <f>$V$221</f>
        <v>0</v>
      </c>
    </row>
    <row r="167" spans="1:72" hidden="1" outlineLevel="1" x14ac:dyDescent="0.2">
      <c r="A167" s="132"/>
      <c r="B167" s="133"/>
      <c r="C167" s="138">
        <v>0</v>
      </c>
      <c r="D167" s="138">
        <f>$U$222</f>
        <v>1</v>
      </c>
      <c r="E167" s="138">
        <f>$J$222</f>
        <v>0</v>
      </c>
      <c r="F167" s="138">
        <f>$L$222</f>
        <v>0</v>
      </c>
      <c r="G167" s="138">
        <f>$T$222</f>
        <v>0</v>
      </c>
      <c r="H167" s="138">
        <f>$V$222</f>
        <v>0.16075173978593996</v>
      </c>
      <c r="I167" s="133"/>
      <c r="J167" s="133"/>
      <c r="K167" s="138">
        <v>0</v>
      </c>
      <c r="L167" s="138">
        <f>$K$222</f>
        <v>0</v>
      </c>
      <c r="M167" s="138">
        <f>$U$222</f>
        <v>1</v>
      </c>
      <c r="N167" s="138">
        <f>$L$222</f>
        <v>0</v>
      </c>
      <c r="O167" s="138">
        <f>$T$222</f>
        <v>0</v>
      </c>
      <c r="P167" s="138">
        <f>$V$222</f>
        <v>0.16075173978593996</v>
      </c>
      <c r="Q167" s="133"/>
      <c r="R167" s="133"/>
      <c r="S167" s="138">
        <v>0</v>
      </c>
      <c r="T167" s="138">
        <f>$I$222</f>
        <v>0</v>
      </c>
      <c r="U167" s="138">
        <f>$J$222</f>
        <v>0</v>
      </c>
      <c r="V167" s="138">
        <f>$U$222</f>
        <v>1</v>
      </c>
      <c r="W167" s="138">
        <f>$T$222</f>
        <v>0</v>
      </c>
      <c r="X167" s="138">
        <f>$V$222</f>
        <v>0.16075173978593996</v>
      </c>
      <c r="Y167" s="133"/>
      <c r="Z167" s="133"/>
      <c r="AA167" s="138">
        <v>0</v>
      </c>
      <c r="AB167" s="138">
        <f>$K$222</f>
        <v>0</v>
      </c>
      <c r="AC167" s="138">
        <f>$J$222</f>
        <v>0</v>
      </c>
      <c r="AD167" s="138">
        <f>$U$222</f>
        <v>1</v>
      </c>
      <c r="AE167" s="138">
        <f>$T$222</f>
        <v>0</v>
      </c>
      <c r="AF167" s="138">
        <f>$V$222</f>
        <v>0.16075173978593996</v>
      </c>
      <c r="AG167" s="133"/>
      <c r="AH167" s="133"/>
      <c r="AI167" s="138">
        <v>0</v>
      </c>
      <c r="AJ167" s="138">
        <f>$K$222</f>
        <v>0</v>
      </c>
      <c r="AK167" s="138">
        <f>$U$222</f>
        <v>1</v>
      </c>
      <c r="AL167" s="138">
        <f>$G$222</f>
        <v>0</v>
      </c>
      <c r="AM167" s="138">
        <f>$T$222</f>
        <v>0</v>
      </c>
      <c r="AN167" s="138">
        <f>$V$222</f>
        <v>0.16075173978593996</v>
      </c>
      <c r="AO167" s="133"/>
      <c r="AP167" s="133"/>
      <c r="AQ167" s="138">
        <v>0</v>
      </c>
      <c r="AR167" s="138">
        <f>$U$222</f>
        <v>1</v>
      </c>
      <c r="AS167" s="138">
        <f>$I$222</f>
        <v>0</v>
      </c>
      <c r="AT167" s="138">
        <f>$G$222</f>
        <v>0</v>
      </c>
      <c r="AU167" s="138">
        <f>$T$222</f>
        <v>0</v>
      </c>
      <c r="AV167" s="138">
        <f>$V$222</f>
        <v>0.16075173978593996</v>
      </c>
      <c r="AW167" s="133"/>
      <c r="AX167" s="133"/>
      <c r="AY167" s="138">
        <v>0</v>
      </c>
      <c r="AZ167" s="138">
        <f>$U$222</f>
        <v>1</v>
      </c>
      <c r="BA167" s="138">
        <f>$H$222</f>
        <v>0</v>
      </c>
      <c r="BB167" s="138">
        <f>$G$222</f>
        <v>0</v>
      </c>
      <c r="BC167" s="138">
        <f>$T$222</f>
        <v>0</v>
      </c>
      <c r="BD167" s="138">
        <f>$V$222</f>
        <v>0.16075173978593996</v>
      </c>
      <c r="BE167" s="132"/>
      <c r="BF167" s="133"/>
      <c r="BG167" s="138">
        <v>0</v>
      </c>
      <c r="BH167" s="138">
        <f>$F$222</f>
        <v>0</v>
      </c>
      <c r="BI167" s="138">
        <f>$E$222</f>
        <v>0</v>
      </c>
      <c r="BJ167" s="138">
        <f>$U$222</f>
        <v>1</v>
      </c>
      <c r="BK167" s="138">
        <f>$T$222</f>
        <v>0</v>
      </c>
      <c r="BL167" s="138">
        <f>$V$222</f>
        <v>0.16075173978593996</v>
      </c>
      <c r="BM167" s="133"/>
      <c r="BN167" s="133"/>
      <c r="BO167" s="138">
        <v>0</v>
      </c>
      <c r="BP167" s="138">
        <f>$F$222</f>
        <v>0</v>
      </c>
      <c r="BQ167" s="138">
        <f>$H$222</f>
        <v>0</v>
      </c>
      <c r="BR167" s="138">
        <f>$U$222</f>
        <v>1</v>
      </c>
      <c r="BS167" s="138">
        <f>$T$222</f>
        <v>0</v>
      </c>
      <c r="BT167" s="139">
        <f>$V$222</f>
        <v>0.16075173978593996</v>
      </c>
    </row>
    <row r="168" spans="1:72" hidden="1" outlineLevel="1" x14ac:dyDescent="0.2">
      <c r="A168" s="132"/>
      <c r="B168" s="133"/>
      <c r="C168" s="138">
        <v>0</v>
      </c>
      <c r="D168" s="138">
        <f>$U$223</f>
        <v>0</v>
      </c>
      <c r="E168" s="138">
        <f>$J$223</f>
        <v>0</v>
      </c>
      <c r="F168" s="138">
        <f>$L$223</f>
        <v>0</v>
      </c>
      <c r="G168" s="138">
        <f>$T$223</f>
        <v>0.79072946520505982</v>
      </c>
      <c r="H168" s="138">
        <f>$V$223</f>
        <v>0.21865931964568422</v>
      </c>
      <c r="I168" s="133"/>
      <c r="J168" s="133"/>
      <c r="K168" s="138">
        <v>0</v>
      </c>
      <c r="L168" s="138">
        <f>$K$223</f>
        <v>0</v>
      </c>
      <c r="M168" s="138">
        <f>$U$223</f>
        <v>0</v>
      </c>
      <c r="N168" s="138">
        <f>$L$223</f>
        <v>0</v>
      </c>
      <c r="O168" s="138">
        <f>$T$223</f>
        <v>0.79072946520505982</v>
      </c>
      <c r="P168" s="138">
        <f>$V$223</f>
        <v>0.21865931964568422</v>
      </c>
      <c r="Q168" s="133"/>
      <c r="R168" s="133"/>
      <c r="S168" s="138">
        <v>0</v>
      </c>
      <c r="T168" s="138">
        <f>$I$223</f>
        <v>0</v>
      </c>
      <c r="U168" s="138">
        <f>$J$223</f>
        <v>0</v>
      </c>
      <c r="V168" s="138">
        <f>$U$223</f>
        <v>0</v>
      </c>
      <c r="W168" s="138">
        <f>$T$223</f>
        <v>0.79072946520505982</v>
      </c>
      <c r="X168" s="138">
        <f>$V$223</f>
        <v>0.21865931964568422</v>
      </c>
      <c r="Y168" s="133"/>
      <c r="Z168" s="133"/>
      <c r="AA168" s="138">
        <v>0</v>
      </c>
      <c r="AB168" s="138">
        <f>$K$223</f>
        <v>0</v>
      </c>
      <c r="AC168" s="138">
        <f>$J$223</f>
        <v>0</v>
      </c>
      <c r="AD168" s="138">
        <f>$U$223</f>
        <v>0</v>
      </c>
      <c r="AE168" s="138">
        <f>$T$223</f>
        <v>0.79072946520505982</v>
      </c>
      <c r="AF168" s="138">
        <f>$V$223</f>
        <v>0.21865931964568422</v>
      </c>
      <c r="AG168" s="133"/>
      <c r="AH168" s="133"/>
      <c r="AI168" s="138">
        <v>0</v>
      </c>
      <c r="AJ168" s="138">
        <f>$K$223</f>
        <v>0</v>
      </c>
      <c r="AK168" s="138">
        <f>$U$223</f>
        <v>0</v>
      </c>
      <c r="AL168" s="138">
        <f>$G$223</f>
        <v>0</v>
      </c>
      <c r="AM168" s="138">
        <f>$T$223</f>
        <v>0.79072946520505982</v>
      </c>
      <c r="AN168" s="138">
        <f>$V$223</f>
        <v>0.21865931964568422</v>
      </c>
      <c r="AO168" s="133"/>
      <c r="AP168" s="133"/>
      <c r="AQ168" s="138">
        <v>0</v>
      </c>
      <c r="AR168" s="138">
        <f>$U$223</f>
        <v>0</v>
      </c>
      <c r="AS168" s="138">
        <f>$I$223</f>
        <v>0</v>
      </c>
      <c r="AT168" s="138">
        <f>$G$223</f>
        <v>0</v>
      </c>
      <c r="AU168" s="138">
        <f>$T$223</f>
        <v>0.79072946520505982</v>
      </c>
      <c r="AV168" s="138">
        <f>$V$223</f>
        <v>0.21865931964568422</v>
      </c>
      <c r="AW168" s="133"/>
      <c r="AX168" s="133"/>
      <c r="AY168" s="138">
        <v>0</v>
      </c>
      <c r="AZ168" s="138">
        <f>$U$223</f>
        <v>0</v>
      </c>
      <c r="BA168" s="138">
        <f>$H$223</f>
        <v>0</v>
      </c>
      <c r="BB168" s="138">
        <f>$G$223</f>
        <v>0</v>
      </c>
      <c r="BC168" s="138">
        <f>$T$223</f>
        <v>0.79072946520505982</v>
      </c>
      <c r="BD168" s="138">
        <f>$V$223</f>
        <v>0.21865931964568422</v>
      </c>
      <c r="BE168" s="132"/>
      <c r="BF168" s="133"/>
      <c r="BG168" s="138">
        <v>0</v>
      </c>
      <c r="BH168" s="138">
        <f>$F$223</f>
        <v>0</v>
      </c>
      <c r="BI168" s="138">
        <f>$E$223</f>
        <v>0</v>
      </c>
      <c r="BJ168" s="138">
        <f>$U$223</f>
        <v>0</v>
      </c>
      <c r="BK168" s="138">
        <f>$T$223</f>
        <v>0.79072946520505982</v>
      </c>
      <c r="BL168" s="138">
        <f>$V$223</f>
        <v>0.21865931964568422</v>
      </c>
      <c r="BM168" s="133"/>
      <c r="BN168" s="133"/>
      <c r="BO168" s="138">
        <v>0</v>
      </c>
      <c r="BP168" s="138">
        <f>$F$223</f>
        <v>0</v>
      </c>
      <c r="BQ168" s="138">
        <f>$H$223</f>
        <v>0</v>
      </c>
      <c r="BR168" s="138">
        <f>$U$223</f>
        <v>0</v>
      </c>
      <c r="BS168" s="138">
        <f>$T$223</f>
        <v>0.79072946520505982</v>
      </c>
      <c r="BT168" s="139">
        <f>$V$223</f>
        <v>0.21865931964568422</v>
      </c>
    </row>
    <row r="169" spans="1:72" hidden="1" outlineLevel="1" x14ac:dyDescent="0.2">
      <c r="A169" s="132"/>
      <c r="B169" s="133"/>
      <c r="C169" s="138">
        <v>1</v>
      </c>
      <c r="D169" s="138">
        <f>$U$224</f>
        <v>0</v>
      </c>
      <c r="E169" s="138">
        <f>$J$224</f>
        <v>0.17774824766946792</v>
      </c>
      <c r="F169" s="138">
        <f>$L$224</f>
        <v>0.34643188524256951</v>
      </c>
      <c r="G169" s="138">
        <f>$T$224</f>
        <v>0.20927053479494012</v>
      </c>
      <c r="H169" s="138">
        <f>$V$224</f>
        <v>0.43401967525280682</v>
      </c>
      <c r="I169" s="133"/>
      <c r="J169" s="133"/>
      <c r="K169" s="138">
        <v>1</v>
      </c>
      <c r="L169" s="138">
        <f>$K$224</f>
        <v>0</v>
      </c>
      <c r="M169" s="138">
        <f>$U$224</f>
        <v>0</v>
      </c>
      <c r="N169" s="138">
        <f>$L$224</f>
        <v>0.34643188524256951</v>
      </c>
      <c r="O169" s="138">
        <f>$T$224</f>
        <v>0.20927053479494012</v>
      </c>
      <c r="P169" s="138">
        <f>$V$224</f>
        <v>0.43401967525280682</v>
      </c>
      <c r="Q169" s="133"/>
      <c r="R169" s="133"/>
      <c r="S169" s="138">
        <v>1</v>
      </c>
      <c r="T169" s="138">
        <f>$I$224</f>
        <v>0.34452413950038913</v>
      </c>
      <c r="U169" s="138">
        <f>$J$224</f>
        <v>0.17774824766946792</v>
      </c>
      <c r="V169" s="138">
        <f>$U$224</f>
        <v>0</v>
      </c>
      <c r="W169" s="138">
        <f>$T$224</f>
        <v>0.20927053479494012</v>
      </c>
      <c r="X169" s="138">
        <f>$V$224</f>
        <v>0.43401967525280682</v>
      </c>
      <c r="Y169" s="133"/>
      <c r="Z169" s="133"/>
      <c r="AA169" s="138">
        <v>1</v>
      </c>
      <c r="AB169" s="138">
        <f>$K$224</f>
        <v>0</v>
      </c>
      <c r="AC169" s="138">
        <f>$J$224</f>
        <v>0.17774824766946792</v>
      </c>
      <c r="AD169" s="138">
        <f>$U$224</f>
        <v>0</v>
      </c>
      <c r="AE169" s="138">
        <f>$T$224</f>
        <v>0.20927053479494012</v>
      </c>
      <c r="AF169" s="138">
        <f>$V$224</f>
        <v>0.43401967525280682</v>
      </c>
      <c r="AG169" s="133"/>
      <c r="AH169" s="133"/>
      <c r="AI169" s="138">
        <v>1</v>
      </c>
      <c r="AJ169" s="138">
        <f>$K$224</f>
        <v>0</v>
      </c>
      <c r="AK169" s="138">
        <f>$U$224</f>
        <v>0</v>
      </c>
      <c r="AL169" s="138">
        <f>$G$224</f>
        <v>0.25996126338098668</v>
      </c>
      <c r="AM169" s="138">
        <f>$T$224</f>
        <v>0.20927053479494012</v>
      </c>
      <c r="AN169" s="138">
        <f>$V$224</f>
        <v>0.43401967525280682</v>
      </c>
      <c r="AO169" s="133"/>
      <c r="AP169" s="133"/>
      <c r="AQ169" s="138">
        <v>1</v>
      </c>
      <c r="AR169" s="138">
        <f>$U$224</f>
        <v>0</v>
      </c>
      <c r="AS169" s="138">
        <f>$I$224</f>
        <v>0.34452413950038913</v>
      </c>
      <c r="AT169" s="138">
        <f>$G$224</f>
        <v>0.25996126338098668</v>
      </c>
      <c r="AU169" s="138">
        <f>$T$224</f>
        <v>0.20927053479494012</v>
      </c>
      <c r="AV169" s="138">
        <f>$V$224</f>
        <v>0.43401967525280682</v>
      </c>
      <c r="AW169" s="133"/>
      <c r="AX169" s="133"/>
      <c r="AY169" s="138">
        <v>1</v>
      </c>
      <c r="AZ169" s="138">
        <f>$U$224</f>
        <v>0</v>
      </c>
      <c r="BA169" s="138">
        <f>$H$224</f>
        <v>0.26988847407356381</v>
      </c>
      <c r="BB169" s="138">
        <f>$G$224</f>
        <v>0.25996126338098668</v>
      </c>
      <c r="BC169" s="138">
        <f>$T$224</f>
        <v>0.20927053479494012</v>
      </c>
      <c r="BD169" s="138">
        <f>$V$224</f>
        <v>0.43401967525280682</v>
      </c>
      <c r="BE169" s="132"/>
      <c r="BF169" s="133"/>
      <c r="BG169" s="138">
        <v>1</v>
      </c>
      <c r="BH169" s="138">
        <f>$F$224</f>
        <v>0.27402876252251041</v>
      </c>
      <c r="BI169" s="138">
        <f>$E$224</f>
        <v>0.30614940260803009</v>
      </c>
      <c r="BJ169" s="138">
        <f>$U$224</f>
        <v>0</v>
      </c>
      <c r="BK169" s="138">
        <f>$T$224</f>
        <v>0.20927053479494012</v>
      </c>
      <c r="BL169" s="138">
        <f>$V$224</f>
        <v>0.43401967525280682</v>
      </c>
      <c r="BM169" s="133"/>
      <c r="BN169" s="133"/>
      <c r="BO169" s="138">
        <v>1</v>
      </c>
      <c r="BP169" s="138">
        <f>$F$224</f>
        <v>0.27402876252251041</v>
      </c>
      <c r="BQ169" s="138">
        <f>$H$224</f>
        <v>0.26988847407356381</v>
      </c>
      <c r="BR169" s="138">
        <f>$U$224</f>
        <v>0</v>
      </c>
      <c r="BS169" s="138">
        <f>$T$224</f>
        <v>0.20927053479494012</v>
      </c>
      <c r="BT169" s="139">
        <f>$V$224</f>
        <v>0.43401967525280682</v>
      </c>
    </row>
    <row r="170" spans="1:72" hidden="1" outlineLevel="1" x14ac:dyDescent="0.2">
      <c r="A170" s="132"/>
      <c r="B170" s="133"/>
      <c r="C170" s="140">
        <f t="shared" ref="C170:H170" si="115">SUM(C164:C169)</f>
        <v>1</v>
      </c>
      <c r="D170" s="140">
        <f t="shared" si="115"/>
        <v>1</v>
      </c>
      <c r="E170" s="140">
        <f t="shared" si="115"/>
        <v>1</v>
      </c>
      <c r="F170" s="140">
        <f t="shared" si="115"/>
        <v>1</v>
      </c>
      <c r="G170" s="140">
        <f t="shared" si="115"/>
        <v>1</v>
      </c>
      <c r="H170" s="140">
        <f t="shared" si="115"/>
        <v>1</v>
      </c>
      <c r="I170" s="133"/>
      <c r="J170" s="133"/>
      <c r="K170" s="140">
        <f t="shared" ref="K170:P170" si="116">SUM(K164:K169)</f>
        <v>1</v>
      </c>
      <c r="L170" s="140">
        <f t="shared" si="116"/>
        <v>0.99999999999999989</v>
      </c>
      <c r="M170" s="140">
        <f t="shared" si="116"/>
        <v>1</v>
      </c>
      <c r="N170" s="140">
        <f t="shared" si="116"/>
        <v>1</v>
      </c>
      <c r="O170" s="140">
        <f t="shared" si="116"/>
        <v>1</v>
      </c>
      <c r="P170" s="140">
        <f t="shared" si="116"/>
        <v>1</v>
      </c>
      <c r="Q170" s="133"/>
      <c r="R170" s="133"/>
      <c r="S170" s="140">
        <f t="shared" ref="S170:X170" si="117">SUM(S164:S169)</f>
        <v>1</v>
      </c>
      <c r="T170" s="140">
        <f t="shared" si="117"/>
        <v>1</v>
      </c>
      <c r="U170" s="140">
        <f t="shared" si="117"/>
        <v>1</v>
      </c>
      <c r="V170" s="140">
        <f t="shared" si="117"/>
        <v>1</v>
      </c>
      <c r="W170" s="140">
        <f t="shared" si="117"/>
        <v>1</v>
      </c>
      <c r="X170" s="140">
        <f t="shared" si="117"/>
        <v>1</v>
      </c>
      <c r="Y170" s="133"/>
      <c r="Z170" s="133"/>
      <c r="AA170" s="140">
        <f t="shared" ref="AA170:AF170" si="118">SUM(AA164:AA169)</f>
        <v>1</v>
      </c>
      <c r="AB170" s="140">
        <f t="shared" si="118"/>
        <v>0.99999999999999989</v>
      </c>
      <c r="AC170" s="140">
        <f t="shared" si="118"/>
        <v>1</v>
      </c>
      <c r="AD170" s="140">
        <f t="shared" si="118"/>
        <v>1</v>
      </c>
      <c r="AE170" s="140">
        <f t="shared" si="118"/>
        <v>1</v>
      </c>
      <c r="AF170" s="140">
        <f t="shared" si="118"/>
        <v>1</v>
      </c>
      <c r="AG170" s="133"/>
      <c r="AH170" s="133"/>
      <c r="AI170" s="140">
        <f t="shared" ref="AI170:AN170" si="119">SUM(AI164:AI169)</f>
        <v>1</v>
      </c>
      <c r="AJ170" s="140">
        <f t="shared" si="119"/>
        <v>0.99999999999999989</v>
      </c>
      <c r="AK170" s="140">
        <f t="shared" si="119"/>
        <v>1</v>
      </c>
      <c r="AL170" s="140">
        <f t="shared" si="119"/>
        <v>1</v>
      </c>
      <c r="AM170" s="140">
        <f t="shared" si="119"/>
        <v>1</v>
      </c>
      <c r="AN170" s="140">
        <f t="shared" si="119"/>
        <v>1</v>
      </c>
      <c r="AO170" s="133"/>
      <c r="AP170" s="133"/>
      <c r="AQ170" s="140">
        <f t="shared" ref="AQ170:AV170" si="120">SUM(AQ164:AQ169)</f>
        <v>1</v>
      </c>
      <c r="AR170" s="140">
        <f t="shared" si="120"/>
        <v>1</v>
      </c>
      <c r="AS170" s="140">
        <f t="shared" si="120"/>
        <v>1</v>
      </c>
      <c r="AT170" s="140">
        <f t="shared" si="120"/>
        <v>1</v>
      </c>
      <c r="AU170" s="140">
        <f t="shared" si="120"/>
        <v>1</v>
      </c>
      <c r="AV170" s="140">
        <f t="shared" si="120"/>
        <v>1</v>
      </c>
      <c r="AW170" s="133"/>
      <c r="AX170" s="133"/>
      <c r="AY170" s="140">
        <f t="shared" ref="AY170:BD170" si="121">SUM(AY164:AY169)</f>
        <v>1</v>
      </c>
      <c r="AZ170" s="140">
        <f t="shared" si="121"/>
        <v>1</v>
      </c>
      <c r="BA170" s="140">
        <f t="shared" si="121"/>
        <v>1</v>
      </c>
      <c r="BB170" s="140">
        <f t="shared" si="121"/>
        <v>1</v>
      </c>
      <c r="BC170" s="140">
        <f t="shared" si="121"/>
        <v>1</v>
      </c>
      <c r="BD170" s="140">
        <f t="shared" si="121"/>
        <v>1</v>
      </c>
      <c r="BE170" s="132"/>
      <c r="BF170" s="133"/>
      <c r="BG170" s="140">
        <f t="shared" ref="BG170:BL170" si="122">SUM(BG164:BG169)</f>
        <v>1</v>
      </c>
      <c r="BH170" s="140">
        <f t="shared" si="122"/>
        <v>1</v>
      </c>
      <c r="BI170" s="140">
        <f t="shared" si="122"/>
        <v>1</v>
      </c>
      <c r="BJ170" s="140">
        <f t="shared" si="122"/>
        <v>1</v>
      </c>
      <c r="BK170" s="140">
        <f t="shared" si="122"/>
        <v>1</v>
      </c>
      <c r="BL170" s="140">
        <f t="shared" si="122"/>
        <v>1</v>
      </c>
      <c r="BM170" s="133"/>
      <c r="BN170" s="133"/>
      <c r="BO170" s="140">
        <f t="shared" ref="BO170:BT170" si="123">SUM(BO164:BO169)</f>
        <v>1</v>
      </c>
      <c r="BP170" s="140">
        <f t="shared" si="123"/>
        <v>1</v>
      </c>
      <c r="BQ170" s="140">
        <f t="shared" si="123"/>
        <v>1</v>
      </c>
      <c r="BR170" s="140">
        <f t="shared" si="123"/>
        <v>1</v>
      </c>
      <c r="BS170" s="140">
        <f t="shared" si="123"/>
        <v>1</v>
      </c>
      <c r="BT170" s="141">
        <f t="shared" si="123"/>
        <v>1</v>
      </c>
    </row>
    <row r="171" spans="1:72" hidden="1" outlineLevel="1" x14ac:dyDescent="0.2">
      <c r="A171" s="132"/>
      <c r="B171" s="142">
        <f t="array" ref="B171:B176">MMULT(C171:H176,$V$19:$V$24)</f>
        <v>-33.569308654016048</v>
      </c>
      <c r="C171" s="138">
        <f t="array" ref="C171:H176">MINVERSE(C164:H169)</f>
        <v>-4.8045829672718217</v>
      </c>
      <c r="D171" s="138">
        <v>0.58634087255554102</v>
      </c>
      <c r="E171" s="138">
        <v>-0.53006240270938942</v>
      </c>
      <c r="F171" s="138">
        <v>0</v>
      </c>
      <c r="G171" s="138">
        <v>-0.26465503563936371</v>
      </c>
      <c r="H171" s="138">
        <v>1</v>
      </c>
      <c r="I171" s="133"/>
      <c r="J171" s="142">
        <f t="array" ref="J171:J176">MMULT(K171:P176,$V$19:$V$24)</f>
        <v>-27.912569792190489</v>
      </c>
      <c r="K171" s="138">
        <f t="array" ref="K171:P176">MINVERSE(K164:P169)</f>
        <v>-4.1763462642704541</v>
      </c>
      <c r="L171" s="138">
        <v>0</v>
      </c>
      <c r="M171" s="138">
        <v>-0.53006240270938942</v>
      </c>
      <c r="N171" s="138">
        <v>0</v>
      </c>
      <c r="O171" s="138">
        <v>-0.26465503563936371</v>
      </c>
      <c r="P171" s="138">
        <v>1</v>
      </c>
      <c r="Q171" s="133"/>
      <c r="R171" s="142">
        <f t="array" ref="R171:R176">MMULT(S171:X176,$V$19:$V$24)</f>
        <v>-17.912355913164852</v>
      </c>
      <c r="S171" s="138">
        <f t="array" ref="S171:X176">MINVERSE(S164:X169)</f>
        <v>-3.5754759328013437</v>
      </c>
      <c r="T171" s="138">
        <v>-0.56079950878891704</v>
      </c>
      <c r="U171" s="138">
        <v>2.8499034120980129</v>
      </c>
      <c r="V171" s="138">
        <v>0</v>
      </c>
      <c r="W171" s="138">
        <v>-0.26465503563936371</v>
      </c>
      <c r="X171" s="138">
        <v>1</v>
      </c>
      <c r="Y171" s="133"/>
      <c r="Z171" s="142">
        <f t="array" ref="Z171:Z176">MMULT(AA171:AF176,$V$19:$V$24)</f>
        <v>-25.566529324713592</v>
      </c>
      <c r="AA171" s="138">
        <f t="array" ref="AA171:AF176">MINVERSE(AA164:AF169)</f>
        <v>-4.1763462642704541</v>
      </c>
      <c r="AB171" s="138">
        <v>0</v>
      </c>
      <c r="AC171" s="138">
        <v>1.197548391306398</v>
      </c>
      <c r="AD171" s="138">
        <v>0</v>
      </c>
      <c r="AE171" s="138">
        <v>-0.26465503563936371</v>
      </c>
      <c r="AF171" s="138">
        <v>1</v>
      </c>
      <c r="AG171" s="133"/>
      <c r="AH171" s="142">
        <f t="array" ref="AH171:AH176">MMULT(AI171:AN176,$V$19:$V$24)</f>
        <v>4.8007784436120247</v>
      </c>
      <c r="AI171" s="138">
        <f t="array" ref="AI171:AN176">MINVERSE(AI164:AN169)</f>
        <v>-4.1763462642704541</v>
      </c>
      <c r="AJ171" s="138">
        <v>0</v>
      </c>
      <c r="AK171" s="138">
        <v>23.559860300691799</v>
      </c>
      <c r="AL171" s="138">
        <v>0</v>
      </c>
      <c r="AM171" s="138">
        <v>-0.26465503563936371</v>
      </c>
      <c r="AN171" s="138">
        <v>1</v>
      </c>
      <c r="AO171" s="133"/>
      <c r="AP171" s="142">
        <f t="array" ref="AP171:AP176">MMULT(AQ171:AV176,$V$19:$V$24)</f>
        <v>-62.786438451260871</v>
      </c>
      <c r="AQ171" s="138">
        <f t="array" ref="AQ171:AV176">MINVERSE(AQ164:AV169)</f>
        <v>-9.0099585263415669</v>
      </c>
      <c r="AR171" s="138">
        <v>4.5112684722143159</v>
      </c>
      <c r="AS171" s="138">
        <v>5.8387993946590848</v>
      </c>
      <c r="AT171" s="138">
        <v>0</v>
      </c>
      <c r="AU171" s="138">
        <v>-0.26465503563936371</v>
      </c>
      <c r="AV171" s="138">
        <v>1</v>
      </c>
      <c r="AW171" s="133"/>
      <c r="AX171" s="142">
        <f t="array" ref="AX171:AX176">MMULT(AY171:BD176,$V$19:$V$24)</f>
        <v>-85.055319709839097</v>
      </c>
      <c r="AY171" s="138">
        <f t="array" ref="AY171:BD176">MINVERSE(AY164:BD169)</f>
        <v>-10.602554618609938</v>
      </c>
      <c r="AZ171" s="138">
        <v>5.9976575639499332</v>
      </c>
      <c r="BA171" s="138">
        <v>1.4469412234044957E-14</v>
      </c>
      <c r="BB171" s="138">
        <v>0</v>
      </c>
      <c r="BC171" s="138">
        <v>-0.26465503563936371</v>
      </c>
      <c r="BD171" s="138">
        <v>1</v>
      </c>
      <c r="BE171" s="132"/>
      <c r="BF171" s="142">
        <f t="array" ref="BF171:BF176">MMULT(BG171:BL176,$V$19:$V$24)</f>
        <v>48.890908866001098</v>
      </c>
      <c r="BG171" s="138">
        <f t="array" ref="BG171:BL176">MINVERSE(BG164:BL169)</f>
        <v>2.1417160329592058</v>
      </c>
      <c r="BH171" s="138">
        <v>-5.8967235478597004</v>
      </c>
      <c r="BI171" s="138">
        <v>14.134997405583718</v>
      </c>
      <c r="BJ171" s="138">
        <v>0</v>
      </c>
      <c r="BK171" s="138">
        <v>-0.26465503563936371</v>
      </c>
      <c r="BL171" s="138">
        <v>1</v>
      </c>
      <c r="BM171" s="133"/>
      <c r="BN171" s="142">
        <f t="array" ref="BN171:BN176">MMULT(BO171:BT176,$V$19:$V$24)</f>
        <v>-37.30568868299715</v>
      </c>
      <c r="BO171" s="138">
        <f t="array" ref="BO171:BT176">MINVERSE(BO164:BT169)</f>
        <v>-10.60255461860994</v>
      </c>
      <c r="BP171" s="138">
        <v>5.9976575639499341</v>
      </c>
      <c r="BQ171" s="138">
        <v>35.162555427256528</v>
      </c>
      <c r="BR171" s="138">
        <v>0</v>
      </c>
      <c r="BS171" s="138">
        <v>-0.26465503563936371</v>
      </c>
      <c r="BT171" s="139">
        <v>1</v>
      </c>
    </row>
    <row r="172" spans="1:72" hidden="1" outlineLevel="1" x14ac:dyDescent="0.2">
      <c r="A172" s="132"/>
      <c r="B172" s="142">
        <v>-21.254507182272892</v>
      </c>
      <c r="C172" s="138">
        <v>-2.1417654884142272</v>
      </c>
      <c r="D172" s="138">
        <v>0.33315591593810695</v>
      </c>
      <c r="E172" s="138">
        <v>0</v>
      </c>
      <c r="F172" s="138">
        <v>1</v>
      </c>
      <c r="G172" s="138">
        <v>0</v>
      </c>
      <c r="H172" s="138">
        <v>0</v>
      </c>
      <c r="I172" s="133"/>
      <c r="J172" s="142">
        <v>-9.6475260835406367</v>
      </c>
      <c r="K172" s="138">
        <v>-1.0714530274228122</v>
      </c>
      <c r="L172" s="138">
        <v>1</v>
      </c>
      <c r="M172" s="138">
        <v>0</v>
      </c>
      <c r="N172" s="138">
        <v>0</v>
      </c>
      <c r="O172" s="138">
        <v>0</v>
      </c>
      <c r="P172" s="138">
        <v>0</v>
      </c>
      <c r="Q172" s="133"/>
      <c r="R172" s="142">
        <v>15.837614338750768</v>
      </c>
      <c r="S172" s="138">
        <v>1.2432893881195164</v>
      </c>
      <c r="T172" s="138">
        <v>-1.1603769426178443</v>
      </c>
      <c r="U172" s="138">
        <v>3.4189663812047026</v>
      </c>
      <c r="V172" s="138">
        <v>0</v>
      </c>
      <c r="W172" s="138">
        <v>0</v>
      </c>
      <c r="X172" s="138">
        <v>0</v>
      </c>
      <c r="Y172" s="133"/>
      <c r="Z172" s="142">
        <v>-13.648680663216769</v>
      </c>
      <c r="AA172" s="138">
        <v>-1.0714530274228122</v>
      </c>
      <c r="AB172" s="138">
        <v>1</v>
      </c>
      <c r="AC172" s="138">
        <v>-2.9464273682407165</v>
      </c>
      <c r="AD172" s="138">
        <v>0</v>
      </c>
      <c r="AE172" s="138">
        <v>0</v>
      </c>
      <c r="AF172" s="138">
        <v>0</v>
      </c>
      <c r="AG172" s="133"/>
      <c r="AH172" s="142">
        <v>-14.981865369164854</v>
      </c>
      <c r="AI172" s="138">
        <v>-1.0714530274228122</v>
      </c>
      <c r="AJ172" s="138">
        <v>1</v>
      </c>
      <c r="AK172" s="138">
        <v>-3.9281769673385223</v>
      </c>
      <c r="AL172" s="138">
        <v>0</v>
      </c>
      <c r="AM172" s="138">
        <v>0</v>
      </c>
      <c r="AN172" s="138">
        <v>0</v>
      </c>
      <c r="AO172" s="133"/>
      <c r="AP172" s="142">
        <v>-37.163618289554648</v>
      </c>
      <c r="AQ172" s="138">
        <v>-4.4235959952898432</v>
      </c>
      <c r="AR172" s="138">
        <v>2.4628157782693099</v>
      </c>
      <c r="AS172" s="138">
        <v>3.4145409796282338</v>
      </c>
      <c r="AT172" s="138">
        <v>1</v>
      </c>
      <c r="AU172" s="138">
        <v>0</v>
      </c>
      <c r="AV172" s="138">
        <v>0</v>
      </c>
      <c r="AW172" s="133"/>
      <c r="AX172" s="142">
        <v>-50.186502360112826</v>
      </c>
      <c r="AY172" s="138">
        <v>-5.3549492159571637</v>
      </c>
      <c r="AZ172" s="138">
        <v>3.3320589432333616</v>
      </c>
      <c r="BA172" s="138">
        <v>8.0815132478666669E-15</v>
      </c>
      <c r="BB172" s="138">
        <v>1</v>
      </c>
      <c r="BC172" s="138">
        <v>0</v>
      </c>
      <c r="BD172" s="138">
        <v>0</v>
      </c>
      <c r="BE172" s="132"/>
      <c r="BF172" s="142">
        <v>6.4444767829349843</v>
      </c>
      <c r="BG172" s="138">
        <v>-2.9308730403573149</v>
      </c>
      <c r="BH172" s="138">
        <v>2.7354190667667497</v>
      </c>
      <c r="BI172" s="138">
        <v>24.179140805787078</v>
      </c>
      <c r="BJ172" s="138">
        <v>0</v>
      </c>
      <c r="BK172" s="138">
        <v>0</v>
      </c>
      <c r="BL172" s="138">
        <v>0</v>
      </c>
      <c r="BM172" s="133"/>
      <c r="BN172" s="142">
        <v>26.267602863185235</v>
      </c>
      <c r="BO172" s="138">
        <v>0</v>
      </c>
      <c r="BP172" s="138">
        <v>-6.007241966137527E-16</v>
      </c>
      <c r="BQ172" s="138">
        <v>19.343312644629659</v>
      </c>
      <c r="BR172" s="138">
        <v>0</v>
      </c>
      <c r="BS172" s="138">
        <v>0</v>
      </c>
      <c r="BT172" s="139">
        <v>0</v>
      </c>
    </row>
    <row r="173" spans="1:72" hidden="1" outlineLevel="1" x14ac:dyDescent="0.2">
      <c r="A173" s="132"/>
      <c r="B173" s="142">
        <v>-20.251917862868144</v>
      </c>
      <c r="C173" s="138">
        <v>-2.2491754380750728</v>
      </c>
      <c r="D173" s="138">
        <v>2.0991824937814219</v>
      </c>
      <c r="E173" s="138">
        <v>0</v>
      </c>
      <c r="F173" s="138">
        <v>0</v>
      </c>
      <c r="G173" s="138">
        <v>0</v>
      </c>
      <c r="H173" s="138">
        <v>0</v>
      </c>
      <c r="I173" s="133"/>
      <c r="J173" s="142">
        <v>-18.040376793374133</v>
      </c>
      <c r="K173" s="138">
        <v>-1.7848045736785227</v>
      </c>
      <c r="L173" s="138">
        <v>0</v>
      </c>
      <c r="M173" s="138">
        <v>0</v>
      </c>
      <c r="N173" s="138">
        <v>1</v>
      </c>
      <c r="O173" s="138">
        <v>0</v>
      </c>
      <c r="P173" s="138">
        <v>0</v>
      </c>
      <c r="Q173" s="133"/>
      <c r="R173" s="142">
        <v>-15.476739277628536</v>
      </c>
      <c r="S173" s="138">
        <v>-1.8743128650625607</v>
      </c>
      <c r="T173" s="138">
        <v>1.7493187448178518</v>
      </c>
      <c r="U173" s="138">
        <v>1.0308481251015631</v>
      </c>
      <c r="V173" s="138">
        <v>0</v>
      </c>
      <c r="W173" s="138">
        <v>0</v>
      </c>
      <c r="X173" s="138">
        <v>0</v>
      </c>
      <c r="Y173" s="133"/>
      <c r="Z173" s="142">
        <v>8.3991536485694986</v>
      </c>
      <c r="AA173" s="138">
        <v>0</v>
      </c>
      <c r="AB173" s="138">
        <v>0</v>
      </c>
      <c r="AC173" s="138">
        <v>6.1850887506093786</v>
      </c>
      <c r="AD173" s="138">
        <v>0</v>
      </c>
      <c r="AE173" s="138">
        <v>0</v>
      </c>
      <c r="AF173" s="138">
        <v>0</v>
      </c>
      <c r="AG173" s="133"/>
      <c r="AH173" s="142">
        <v>-0.26604387046889144</v>
      </c>
      <c r="AI173" s="138">
        <v>-1.7848045736785227</v>
      </c>
      <c r="AJ173" s="138">
        <v>0</v>
      </c>
      <c r="AK173" s="138">
        <v>13.088917194623631</v>
      </c>
      <c r="AL173" s="138">
        <v>1</v>
      </c>
      <c r="AM173" s="138">
        <v>0</v>
      </c>
      <c r="AN173" s="138">
        <v>0</v>
      </c>
      <c r="AO173" s="133"/>
      <c r="AP173" s="142">
        <v>13.606531018875827</v>
      </c>
      <c r="AQ173" s="138">
        <v>0.97309370319816069</v>
      </c>
      <c r="AR173" s="138">
        <v>-0.90820005944522098</v>
      </c>
      <c r="AS173" s="138">
        <v>3.5675705552481944</v>
      </c>
      <c r="AT173" s="138">
        <v>0</v>
      </c>
      <c r="AU173" s="138">
        <v>0</v>
      </c>
      <c r="AV173" s="138">
        <v>0</v>
      </c>
      <c r="AW173" s="133"/>
      <c r="AX173" s="142">
        <v>-99.874874088396112</v>
      </c>
      <c r="AY173" s="138">
        <v>-7.1427177837100952</v>
      </c>
      <c r="AZ173" s="138">
        <v>6.6663844339407214</v>
      </c>
      <c r="BA173" s="138">
        <v>-26.186737788829983</v>
      </c>
      <c r="BB173" s="138">
        <v>0</v>
      </c>
      <c r="BC173" s="138">
        <v>0</v>
      </c>
      <c r="BD173" s="138">
        <v>0</v>
      </c>
      <c r="BE173" s="132"/>
      <c r="BF173" s="142">
        <v>47.315519048966024</v>
      </c>
      <c r="BG173" s="138">
        <v>6.9956564171424951</v>
      </c>
      <c r="BH173" s="138">
        <v>-6.529130291385048</v>
      </c>
      <c r="BI173" s="138">
        <v>-11.542564908807831</v>
      </c>
      <c r="BJ173" s="138">
        <v>0</v>
      </c>
      <c r="BK173" s="138">
        <v>0</v>
      </c>
      <c r="BL173" s="138">
        <v>0</v>
      </c>
      <c r="BM173" s="133"/>
      <c r="BN173" s="142">
        <v>-48.310176944706228</v>
      </c>
      <c r="BO173" s="138">
        <v>-7.1427177837100961</v>
      </c>
      <c r="BP173" s="138">
        <v>6.6663844339407223</v>
      </c>
      <c r="BQ173" s="138">
        <v>11.785210526026104</v>
      </c>
      <c r="BR173" s="138">
        <v>0</v>
      </c>
      <c r="BS173" s="138">
        <v>0</v>
      </c>
      <c r="BT173" s="139">
        <v>0</v>
      </c>
    </row>
    <row r="174" spans="1:72" hidden="1" outlineLevel="1" x14ac:dyDescent="0.2">
      <c r="A174" s="132"/>
      <c r="B174" s="142">
        <v>7.087679592741452</v>
      </c>
      <c r="C174" s="138">
        <v>0.55639925531497536</v>
      </c>
      <c r="D174" s="138">
        <v>-0.51929411843027218</v>
      </c>
      <c r="E174" s="138">
        <v>1.5300624027093894</v>
      </c>
      <c r="F174" s="138">
        <v>0</v>
      </c>
      <c r="G174" s="138">
        <v>0</v>
      </c>
      <c r="H174" s="138">
        <v>0</v>
      </c>
      <c r="I174" s="133"/>
      <c r="J174" s="142">
        <v>2.0777760401561625</v>
      </c>
      <c r="K174" s="138">
        <v>0</v>
      </c>
      <c r="L174" s="138">
        <v>0</v>
      </c>
      <c r="M174" s="138">
        <v>1.5300624027093894</v>
      </c>
      <c r="N174" s="138">
        <v>0</v>
      </c>
      <c r="O174" s="138">
        <v>0</v>
      </c>
      <c r="P174" s="138">
        <v>0</v>
      </c>
      <c r="Q174" s="133"/>
      <c r="R174" s="142">
        <v>-12.918086218154919</v>
      </c>
      <c r="S174" s="138">
        <v>-1.487337144732102</v>
      </c>
      <c r="T174" s="138">
        <v>-0.27762992994842245</v>
      </c>
      <c r="U174" s="138">
        <v>1.7996361324541261</v>
      </c>
      <c r="V174" s="138">
        <v>1</v>
      </c>
      <c r="W174" s="138">
        <v>0</v>
      </c>
      <c r="X174" s="138">
        <v>0</v>
      </c>
      <c r="Y174" s="133"/>
      <c r="Z174" s="142">
        <v>-16.707368474572181</v>
      </c>
      <c r="AA174" s="138">
        <v>-1.7848045736785227</v>
      </c>
      <c r="AB174" s="138">
        <v>0</v>
      </c>
      <c r="AC174" s="138">
        <v>0.98161970861134162</v>
      </c>
      <c r="AD174" s="138">
        <v>1</v>
      </c>
      <c r="AE174" s="138">
        <v>0</v>
      </c>
      <c r="AF174" s="138">
        <v>0</v>
      </c>
      <c r="AG174" s="133"/>
      <c r="AH174" s="142">
        <v>36.918724548496776</v>
      </c>
      <c r="AI174" s="138">
        <v>0</v>
      </c>
      <c r="AJ174" s="138">
        <v>0</v>
      </c>
      <c r="AK174" s="138">
        <v>27.186737788829994</v>
      </c>
      <c r="AL174" s="138">
        <v>0</v>
      </c>
      <c r="AM174" s="138">
        <v>0</v>
      </c>
      <c r="AN174" s="138">
        <v>0</v>
      </c>
      <c r="AO174" s="133"/>
      <c r="AP174" s="142">
        <v>-53.244293008341359</v>
      </c>
      <c r="AQ174" s="138">
        <v>-6.4481582060989746</v>
      </c>
      <c r="AR174" s="138">
        <v>6.0181436246522741</v>
      </c>
      <c r="AS174" s="138">
        <v>3.546404616335769</v>
      </c>
      <c r="AT174" s="138">
        <v>0</v>
      </c>
      <c r="AU174" s="138">
        <v>0</v>
      </c>
      <c r="AV174" s="138">
        <v>0</v>
      </c>
      <c r="AW174" s="133"/>
      <c r="AX174" s="142">
        <v>36.918724548496783</v>
      </c>
      <c r="AY174" s="138">
        <v>0</v>
      </c>
      <c r="AZ174" s="138">
        <v>0</v>
      </c>
      <c r="BA174" s="138">
        <v>27.186737788829998</v>
      </c>
      <c r="BB174" s="138">
        <v>0</v>
      </c>
      <c r="BC174" s="138">
        <v>0</v>
      </c>
      <c r="BD174" s="138">
        <v>0</v>
      </c>
      <c r="BE174" s="132"/>
      <c r="BF174" s="142">
        <v>21.420047495879125</v>
      </c>
      <c r="BG174" s="138">
        <v>1.4873371447321015</v>
      </c>
      <c r="BH174" s="138">
        <v>-3.0539292294326459</v>
      </c>
      <c r="BI174" s="138">
        <v>7.3621478145850645</v>
      </c>
      <c r="BJ174" s="138">
        <v>1</v>
      </c>
      <c r="BK174" s="138">
        <v>0</v>
      </c>
      <c r="BL174" s="138">
        <v>0</v>
      </c>
      <c r="BM174" s="133"/>
      <c r="BN174" s="142">
        <v>-24.858144475406075</v>
      </c>
      <c r="BO174" s="138">
        <v>-5.3549492159571646</v>
      </c>
      <c r="BP174" s="138">
        <v>3.332058943233362</v>
      </c>
      <c r="BQ174" s="138">
        <v>18.651658009707852</v>
      </c>
      <c r="BR174" s="138">
        <v>1</v>
      </c>
      <c r="BS174" s="138">
        <v>0</v>
      </c>
      <c r="BT174" s="139">
        <v>0</v>
      </c>
    </row>
    <row r="175" spans="1:72" hidden="1" outlineLevel="1" x14ac:dyDescent="0.2">
      <c r="A175" s="132"/>
      <c r="B175" s="142">
        <v>-16.318351992296876</v>
      </c>
      <c r="C175" s="138">
        <v>-3.6843111841847165</v>
      </c>
      <c r="D175" s="138">
        <v>0.57310199170165932</v>
      </c>
      <c r="E175" s="138">
        <v>0</v>
      </c>
      <c r="F175" s="138">
        <v>0</v>
      </c>
      <c r="G175" s="138">
        <v>1.2646550356393638</v>
      </c>
      <c r="H175" s="138">
        <v>0</v>
      </c>
      <c r="I175" s="133"/>
      <c r="J175" s="142">
        <v>-10.789335578826027</v>
      </c>
      <c r="K175" s="138">
        <v>-3.0702593201539301</v>
      </c>
      <c r="L175" s="138">
        <v>0</v>
      </c>
      <c r="M175" s="138">
        <v>0</v>
      </c>
      <c r="N175" s="138">
        <v>0</v>
      </c>
      <c r="O175" s="138">
        <v>1.2646550356393638</v>
      </c>
      <c r="P175" s="138">
        <v>0</v>
      </c>
      <c r="Q175" s="133"/>
      <c r="R175" s="142">
        <v>-1.9778608599495371</v>
      </c>
      <c r="S175" s="138">
        <v>-2.5585494334616081</v>
      </c>
      <c r="T175" s="138">
        <v>-0.47758499308471603</v>
      </c>
      <c r="U175" s="138">
        <v>3.0957728874288923</v>
      </c>
      <c r="V175" s="138">
        <v>0</v>
      </c>
      <c r="W175" s="138">
        <v>1.2646550356393638</v>
      </c>
      <c r="X175" s="138">
        <v>0</v>
      </c>
      <c r="Y175" s="133"/>
      <c r="Z175" s="142">
        <v>-8.4962659201074189</v>
      </c>
      <c r="AA175" s="138">
        <v>-3.0702593201539301</v>
      </c>
      <c r="AB175" s="138">
        <v>0</v>
      </c>
      <c r="AC175" s="138">
        <v>1.6886033931430322</v>
      </c>
      <c r="AD175" s="138">
        <v>0</v>
      </c>
      <c r="AE175" s="138">
        <v>1.2646550356393638</v>
      </c>
      <c r="AF175" s="138">
        <v>0</v>
      </c>
      <c r="AG175" s="133"/>
      <c r="AH175" s="142">
        <v>19.786455250527869</v>
      </c>
      <c r="AI175" s="138">
        <v>-3.0702593201539301</v>
      </c>
      <c r="AJ175" s="138">
        <v>0</v>
      </c>
      <c r="AK175" s="138">
        <v>22.515837644169196</v>
      </c>
      <c r="AL175" s="138">
        <v>0</v>
      </c>
      <c r="AM175" s="138">
        <v>1.2646550356393638</v>
      </c>
      <c r="AN175" s="138">
        <v>0</v>
      </c>
      <c r="AO175" s="133"/>
      <c r="AP175" s="142">
        <v>-43.685548027561047</v>
      </c>
      <c r="AQ175" s="138">
        <v>-7.6095652338800797</v>
      </c>
      <c r="AR175" s="138">
        <v>4.2365888168188155</v>
      </c>
      <c r="AS175" s="138">
        <v>5.8737670338575674</v>
      </c>
      <c r="AT175" s="138">
        <v>0</v>
      </c>
      <c r="AU175" s="138">
        <v>1.2646550356393638</v>
      </c>
      <c r="AV175" s="138">
        <v>0</v>
      </c>
      <c r="AW175" s="133"/>
      <c r="AX175" s="142">
        <v>-66.087794067590096</v>
      </c>
      <c r="AY175" s="138">
        <v>-9.2116991303748286</v>
      </c>
      <c r="AZ175" s="138">
        <v>5.7318796559780409</v>
      </c>
      <c r="BA175" s="138">
        <v>1.3901993381309694E-14</v>
      </c>
      <c r="BB175" s="138">
        <v>0</v>
      </c>
      <c r="BC175" s="138">
        <v>1.2646550356393638</v>
      </c>
      <c r="BD175" s="138">
        <v>0</v>
      </c>
      <c r="BE175" s="132"/>
      <c r="BF175" s="142">
        <v>57.091337318379601</v>
      </c>
      <c r="BG175" s="138">
        <v>2.5585494334616072</v>
      </c>
      <c r="BH175" s="138">
        <v>-5.2534349239318736</v>
      </c>
      <c r="BI175" s="138">
        <v>12.664525448572746</v>
      </c>
      <c r="BJ175" s="138">
        <v>0</v>
      </c>
      <c r="BK175" s="138">
        <v>1.2646550356393638</v>
      </c>
      <c r="BL175" s="138">
        <v>0</v>
      </c>
      <c r="BM175" s="133"/>
      <c r="BN175" s="142">
        <v>-22.517406582846853</v>
      </c>
      <c r="BO175" s="138">
        <v>-9.2116991303748303</v>
      </c>
      <c r="BP175" s="138">
        <v>5.7318796559780418</v>
      </c>
      <c r="BQ175" s="138">
        <v>32.084984364760956</v>
      </c>
      <c r="BR175" s="138">
        <v>0</v>
      </c>
      <c r="BS175" s="138">
        <v>1.2646550356393638</v>
      </c>
      <c r="BT175" s="139">
        <v>0</v>
      </c>
    </row>
    <row r="176" spans="1:72" hidden="1" outlineLevel="1" x14ac:dyDescent="0.2">
      <c r="A176" s="132"/>
      <c r="B176" s="142">
        <v>182.72457721082412</v>
      </c>
      <c r="C176" s="138">
        <v>13.323435822630863</v>
      </c>
      <c r="D176" s="138">
        <v>-2.0724871555464572</v>
      </c>
      <c r="E176" s="138">
        <v>0</v>
      </c>
      <c r="F176" s="138">
        <v>0</v>
      </c>
      <c r="G176" s="138">
        <v>0</v>
      </c>
      <c r="H176" s="138">
        <v>0</v>
      </c>
      <c r="I176" s="133"/>
      <c r="J176" s="142">
        <v>162.73020331988675</v>
      </c>
      <c r="K176" s="138">
        <v>11.102863185525718</v>
      </c>
      <c r="L176" s="138">
        <v>0</v>
      </c>
      <c r="M176" s="138">
        <v>0</v>
      </c>
      <c r="N176" s="138">
        <v>0</v>
      </c>
      <c r="O176" s="138">
        <v>0</v>
      </c>
      <c r="P176" s="138">
        <v>0</v>
      </c>
      <c r="Q176" s="133"/>
      <c r="R176" s="142">
        <v>130.86559904225871</v>
      </c>
      <c r="S176" s="138">
        <v>9.2523859879380979</v>
      </c>
      <c r="T176" s="138">
        <v>1.7270726296220476</v>
      </c>
      <c r="U176" s="138">
        <v>-11.195126938287297</v>
      </c>
      <c r="V176" s="138">
        <v>0</v>
      </c>
      <c r="W176" s="138">
        <v>0</v>
      </c>
      <c r="X176" s="138">
        <v>0</v>
      </c>
      <c r="Y176" s="133"/>
      <c r="Z176" s="142">
        <v>154.43786184615209</v>
      </c>
      <c r="AA176" s="138">
        <v>11.102863185525718</v>
      </c>
      <c r="AB176" s="138">
        <v>0</v>
      </c>
      <c r="AC176" s="138">
        <v>-6.1064328754294346</v>
      </c>
      <c r="AD176" s="138">
        <v>0</v>
      </c>
      <c r="AE176" s="138">
        <v>0</v>
      </c>
      <c r="AF176" s="138">
        <v>0</v>
      </c>
      <c r="AG176" s="133"/>
      <c r="AH176" s="142">
        <v>52.160122109108713</v>
      </c>
      <c r="AI176" s="138">
        <v>11.102863185525718</v>
      </c>
      <c r="AJ176" s="138">
        <v>0</v>
      </c>
      <c r="AK176" s="138">
        <v>-81.423175960976096</v>
      </c>
      <c r="AL176" s="138">
        <v>0</v>
      </c>
      <c r="AM176" s="138">
        <v>0</v>
      </c>
      <c r="AN176" s="138">
        <v>0</v>
      </c>
      <c r="AO176" s="133"/>
      <c r="AP176" s="142">
        <v>281.69153786995366</v>
      </c>
      <c r="AQ176" s="138">
        <v>27.518184258412301</v>
      </c>
      <c r="AR176" s="138">
        <v>-15.320616632509493</v>
      </c>
      <c r="AS176" s="138">
        <v>-21.241082579728847</v>
      </c>
      <c r="AT176" s="138">
        <v>0</v>
      </c>
      <c r="AU176" s="138">
        <v>0</v>
      </c>
      <c r="AV176" s="138">
        <v>0</v>
      </c>
      <c r="AW176" s="133"/>
      <c r="AX176" s="142">
        <v>362.70393678955293</v>
      </c>
      <c r="AY176" s="138">
        <v>33.311920748652021</v>
      </c>
      <c r="AZ176" s="138">
        <v>-20.727980597102054</v>
      </c>
      <c r="BA176" s="138">
        <v>-5.0273255260740331E-14</v>
      </c>
      <c r="BB176" s="138">
        <v>0</v>
      </c>
      <c r="BC176" s="138">
        <v>0</v>
      </c>
      <c r="BD176" s="138">
        <v>0</v>
      </c>
      <c r="BE176" s="132"/>
      <c r="BF176" s="142">
        <v>-82.744118400049231</v>
      </c>
      <c r="BG176" s="138">
        <v>-9.2523859879380943</v>
      </c>
      <c r="BH176" s="138">
        <v>18.997798925842517</v>
      </c>
      <c r="BI176" s="138">
        <v>-45.798246565720774</v>
      </c>
      <c r="BJ176" s="138">
        <v>0</v>
      </c>
      <c r="BK176" s="138">
        <v>0</v>
      </c>
      <c r="BL176" s="138">
        <v>0</v>
      </c>
      <c r="BM176" s="133"/>
      <c r="BN176" s="142">
        <v>205.14198493488269</v>
      </c>
      <c r="BO176" s="138">
        <v>33.311920748652028</v>
      </c>
      <c r="BP176" s="138">
        <v>-20.727980597102057</v>
      </c>
      <c r="BQ176" s="138">
        <v>-116.02772097238109</v>
      </c>
      <c r="BR176" s="138">
        <v>0</v>
      </c>
      <c r="BS176" s="138">
        <v>0</v>
      </c>
      <c r="BT176" s="139">
        <v>0</v>
      </c>
    </row>
    <row r="177" spans="1:72" hidden="1" outlineLevel="1" x14ac:dyDescent="0.2">
      <c r="A177" s="132"/>
      <c r="B177" s="143">
        <f>SUM(B171:B176)</f>
        <v>98.418171112111622</v>
      </c>
      <c r="C177" s="133"/>
      <c r="D177" s="133"/>
      <c r="E177" s="133"/>
      <c r="F177" s="133"/>
      <c r="G177" s="133"/>
      <c r="H177" s="133"/>
      <c r="I177" s="133"/>
      <c r="J177" s="143">
        <f>SUM(J171:J176)</f>
        <v>98.418171112111622</v>
      </c>
      <c r="K177" s="133"/>
      <c r="L177" s="133"/>
      <c r="M177" s="133"/>
      <c r="N177" s="133"/>
      <c r="O177" s="133"/>
      <c r="P177" s="133"/>
      <c r="Q177" s="133"/>
      <c r="R177" s="143">
        <f>SUM(R171:R176)</f>
        <v>98.418171112111636</v>
      </c>
      <c r="S177" s="133"/>
      <c r="T177" s="133"/>
      <c r="U177" s="133"/>
      <c r="V177" s="133"/>
      <c r="W177" s="133"/>
      <c r="X177" s="133"/>
      <c r="Y177" s="133"/>
      <c r="Z177" s="143">
        <f>SUM(Z171:Z176)</f>
        <v>98.418171112111622</v>
      </c>
      <c r="AA177" s="133"/>
      <c r="AB177" s="133"/>
      <c r="AC177" s="133"/>
      <c r="AD177" s="133"/>
      <c r="AE177" s="133"/>
      <c r="AF177" s="133"/>
      <c r="AG177" s="133"/>
      <c r="AH177" s="143">
        <f>SUM(AH171:AH176)</f>
        <v>98.418171112111636</v>
      </c>
      <c r="AI177" s="133"/>
      <c r="AJ177" s="133"/>
      <c r="AK177" s="133"/>
      <c r="AL177" s="133"/>
      <c r="AM177" s="133"/>
      <c r="AN177" s="133"/>
      <c r="AO177" s="133"/>
      <c r="AP177" s="143">
        <f>SUM(AP171:AP176)</f>
        <v>98.418171112111565</v>
      </c>
      <c r="AQ177" s="133"/>
      <c r="AR177" s="133"/>
      <c r="AS177" s="133"/>
      <c r="AT177" s="133"/>
      <c r="AU177" s="133"/>
      <c r="AV177" s="133"/>
      <c r="AW177" s="133"/>
      <c r="AX177" s="143">
        <f>SUM(AX171:AX176)</f>
        <v>98.418171112111622</v>
      </c>
      <c r="AY177" s="133"/>
      <c r="AZ177" s="133"/>
      <c r="BA177" s="133"/>
      <c r="BB177" s="133"/>
      <c r="BC177" s="133"/>
      <c r="BD177" s="133"/>
      <c r="BE177" s="132"/>
      <c r="BF177" s="143">
        <f>SUM(BF171:BF176)</f>
        <v>98.418171112111608</v>
      </c>
      <c r="BG177" s="133"/>
      <c r="BH177" s="133"/>
      <c r="BI177" s="133"/>
      <c r="BJ177" s="133"/>
      <c r="BK177" s="133"/>
      <c r="BL177" s="133"/>
      <c r="BM177" s="133"/>
      <c r="BN177" s="143">
        <f>SUM(BN171:BN176)</f>
        <v>98.418171112111622</v>
      </c>
      <c r="BO177" s="133"/>
      <c r="BP177" s="133"/>
      <c r="BQ177" s="133"/>
      <c r="BR177" s="133"/>
      <c r="BS177" s="133"/>
      <c r="BT177" s="134"/>
    </row>
    <row r="178" spans="1:72" hidden="1" outlineLevel="1" x14ac:dyDescent="0.2">
      <c r="A178" s="132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L178" s="133"/>
      <c r="M178" s="133"/>
      <c r="N178" s="133"/>
      <c r="O178" s="133"/>
      <c r="P178" s="133"/>
      <c r="Q178" s="133"/>
      <c r="R178" s="133"/>
      <c r="S178" s="133"/>
      <c r="T178" s="133"/>
      <c r="U178" s="133"/>
      <c r="V178" s="133"/>
      <c r="W178" s="133"/>
      <c r="X178" s="133"/>
      <c r="Y178" s="133"/>
      <c r="Z178" s="133"/>
      <c r="AA178" s="133"/>
      <c r="AB178" s="133"/>
      <c r="AC178" s="133"/>
      <c r="AD178" s="133"/>
      <c r="AE178" s="133"/>
      <c r="AF178" s="133"/>
      <c r="AG178" s="133"/>
      <c r="AH178" s="133"/>
      <c r="AI178" s="133"/>
      <c r="AJ178" s="133"/>
      <c r="AK178" s="133"/>
      <c r="AL178" s="133"/>
      <c r="AM178" s="133"/>
      <c r="AN178" s="133"/>
      <c r="AO178" s="133"/>
      <c r="AP178" s="133"/>
      <c r="AQ178" s="133"/>
      <c r="AR178" s="133"/>
      <c r="AS178" s="133"/>
      <c r="AT178" s="133"/>
      <c r="AU178" s="133"/>
      <c r="AV178" s="133"/>
      <c r="AW178" s="133"/>
      <c r="AX178" s="133"/>
      <c r="AY178" s="133"/>
      <c r="AZ178" s="133"/>
      <c r="BA178" s="133"/>
      <c r="BB178" s="133"/>
      <c r="BC178" s="133"/>
      <c r="BD178" s="133"/>
      <c r="BE178" s="132"/>
      <c r="BF178" s="133"/>
      <c r="BG178" s="133"/>
      <c r="BH178" s="133"/>
      <c r="BI178" s="133"/>
      <c r="BJ178" s="133"/>
      <c r="BK178" s="133"/>
      <c r="BL178" s="133"/>
      <c r="BM178" s="133"/>
      <c r="BN178" s="133"/>
      <c r="BO178" s="133"/>
      <c r="BP178" s="133"/>
      <c r="BQ178" s="133"/>
      <c r="BR178" s="133"/>
      <c r="BS178" s="133"/>
      <c r="BT178" s="134"/>
    </row>
    <row r="179" spans="1:72" hidden="1" outlineLevel="1" x14ac:dyDescent="0.2">
      <c r="A179" s="132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L179" s="133"/>
      <c r="M179" s="133"/>
      <c r="N179" s="133"/>
      <c r="O179" s="133"/>
      <c r="P179" s="133"/>
      <c r="Q179" s="133"/>
      <c r="R179" s="133"/>
      <c r="S179" s="133"/>
      <c r="T179" s="133"/>
      <c r="U179" s="133"/>
      <c r="V179" s="133"/>
      <c r="W179" s="133"/>
      <c r="X179" s="133"/>
      <c r="Y179" s="133"/>
      <c r="Z179" s="133"/>
      <c r="AA179" s="133"/>
      <c r="AB179" s="133"/>
      <c r="AC179" s="133"/>
      <c r="AD179" s="133"/>
      <c r="AE179" s="133"/>
      <c r="AF179" s="133"/>
      <c r="AG179" s="133"/>
      <c r="AH179" s="133"/>
      <c r="AI179" s="133"/>
      <c r="AJ179" s="133"/>
      <c r="AK179" s="133"/>
      <c r="AL179" s="133"/>
      <c r="AM179" s="133"/>
      <c r="AN179" s="133"/>
      <c r="AO179" s="133"/>
      <c r="AP179" s="133"/>
      <c r="AQ179" s="133"/>
      <c r="AR179" s="133"/>
      <c r="AS179" s="133"/>
      <c r="AT179" s="133"/>
      <c r="AU179" s="133"/>
      <c r="AV179" s="133"/>
      <c r="AW179" s="133"/>
      <c r="AX179" s="133"/>
      <c r="AY179" s="133"/>
      <c r="AZ179" s="133"/>
      <c r="BA179" s="133"/>
      <c r="BB179" s="133"/>
      <c r="BC179" s="133"/>
      <c r="BD179" s="133"/>
      <c r="BE179" s="132"/>
      <c r="BF179" s="133"/>
      <c r="BG179" s="133"/>
      <c r="BH179" s="133"/>
      <c r="BI179" s="133"/>
      <c r="BJ179" s="133"/>
      <c r="BK179" s="133"/>
      <c r="BL179" s="133"/>
      <c r="BM179" s="133"/>
      <c r="BN179" s="133"/>
      <c r="BO179" s="133"/>
      <c r="BP179" s="133"/>
      <c r="BQ179" s="133"/>
      <c r="BR179" s="133"/>
      <c r="BS179" s="133"/>
      <c r="BT179" s="134"/>
    </row>
    <row r="180" spans="1:72" hidden="1" outlineLevel="1" x14ac:dyDescent="0.2">
      <c r="A180" s="135" t="s">
        <v>64</v>
      </c>
      <c r="B180" s="136">
        <v>27</v>
      </c>
      <c r="C180" s="136" t="s">
        <v>59</v>
      </c>
      <c r="D180" s="136" t="str">
        <f>$I$218</f>
        <v>strätlingite</v>
      </c>
      <c r="E180" s="136" t="str">
        <f>$J$218</f>
        <v>Ca-stilbite</v>
      </c>
      <c r="F180" s="136" t="str">
        <f>$L$218</f>
        <v>AH3</v>
      </c>
      <c r="G180" s="136" t="str">
        <f>$V$218</f>
        <v>thaumasite</v>
      </c>
      <c r="H180" s="136" t="str">
        <f>$U$218</f>
        <v>calcite</v>
      </c>
      <c r="I180" s="133" t="s">
        <v>65</v>
      </c>
      <c r="J180" s="136">
        <v>27</v>
      </c>
      <c r="K180" s="136" t="s">
        <v>59</v>
      </c>
      <c r="L180" s="136" t="str">
        <f>$K$218</f>
        <v>SiO2</v>
      </c>
      <c r="M180" s="136" t="str">
        <f>$J$218</f>
        <v>Ca-stilbite</v>
      </c>
      <c r="N180" s="136" t="str">
        <f>$L$218</f>
        <v>AH3</v>
      </c>
      <c r="O180" s="136" t="str">
        <f>$V$218</f>
        <v>thaumasite</v>
      </c>
      <c r="P180" s="136" t="str">
        <f>$U$218</f>
        <v>calcite</v>
      </c>
      <c r="Q180" s="133" t="s">
        <v>66</v>
      </c>
      <c r="R180" s="136">
        <v>27</v>
      </c>
      <c r="S180" s="136" t="s">
        <v>59</v>
      </c>
      <c r="T180" s="136" t="str">
        <f>$I$218</f>
        <v>strätlingite</v>
      </c>
      <c r="U180" s="136" t="str">
        <f>$J$218</f>
        <v>Ca-stilbite</v>
      </c>
      <c r="V180" s="136" t="str">
        <f>$G$218</f>
        <v>C0.67A0.05SH1.8</v>
      </c>
      <c r="W180" s="136" t="str">
        <f>$V$218</f>
        <v>thaumasite</v>
      </c>
      <c r="X180" s="136" t="str">
        <f>$U$218</f>
        <v>calcite</v>
      </c>
      <c r="Y180" s="133" t="s">
        <v>67</v>
      </c>
      <c r="Z180" s="136">
        <v>27</v>
      </c>
      <c r="AA180" s="136" t="s">
        <v>59</v>
      </c>
      <c r="AB180" s="136" t="str">
        <f>$K$218</f>
        <v>SiO2</v>
      </c>
      <c r="AC180" s="136" t="str">
        <f>$J$218</f>
        <v>Ca-stilbite</v>
      </c>
      <c r="AD180" s="136" t="str">
        <f>$G$218</f>
        <v>C0.67A0.05SH1.8</v>
      </c>
      <c r="AE180" s="136" t="str">
        <f>$V$218</f>
        <v>thaumasite</v>
      </c>
      <c r="AF180" s="136" t="str">
        <f>$U$218</f>
        <v>calcite</v>
      </c>
      <c r="AG180" s="133" t="s">
        <v>68</v>
      </c>
      <c r="AH180" s="136">
        <v>27</v>
      </c>
      <c r="AI180" s="136" t="s">
        <v>59</v>
      </c>
      <c r="AJ180" s="136" t="str">
        <f>$K$218</f>
        <v>SiO2</v>
      </c>
      <c r="AK180" s="136" t="str">
        <f>$H$218</f>
        <v>C0.67SH1.8</v>
      </c>
      <c r="AL180" s="136" t="str">
        <f>$G$218</f>
        <v>C0.67A0.05SH1.8</v>
      </c>
      <c r="AM180" s="136" t="str">
        <f>$V$218</f>
        <v>thaumasite</v>
      </c>
      <c r="AN180" s="136" t="str">
        <f>$U$218</f>
        <v>calcite</v>
      </c>
      <c r="AO180" s="133" t="s">
        <v>69</v>
      </c>
      <c r="AP180" s="136">
        <v>27</v>
      </c>
      <c r="AQ180" s="136" t="s">
        <v>59</v>
      </c>
      <c r="AR180" s="136" t="str">
        <f>$F$218</f>
        <v>C1.3A0.1SH3</v>
      </c>
      <c r="AS180" s="136" t="str">
        <f>$I$218</f>
        <v>strätlingite</v>
      </c>
      <c r="AT180" s="136" t="str">
        <f>$G$218</f>
        <v>C0.67A0.05SH1.8</v>
      </c>
      <c r="AU180" s="136" t="str">
        <f>$V$218</f>
        <v>thaumasite</v>
      </c>
      <c r="AV180" s="136" t="str">
        <f>$U$218</f>
        <v>calcite</v>
      </c>
      <c r="AW180" s="138" t="s">
        <v>70</v>
      </c>
      <c r="AX180" s="136">
        <v>27</v>
      </c>
      <c r="AY180" s="136" t="s">
        <v>59</v>
      </c>
      <c r="AZ180" s="136" t="str">
        <f>$F$218</f>
        <v>C1.3A0.1SH3</v>
      </c>
      <c r="BA180" s="136" t="str">
        <f>$H$218</f>
        <v>C0.67SH1.8</v>
      </c>
      <c r="BB180" s="136" t="str">
        <f>$G$218</f>
        <v>C0.67A0.05SH1.8</v>
      </c>
      <c r="BC180" s="136" t="str">
        <f>$V$218</f>
        <v>thaumasite</v>
      </c>
      <c r="BD180" s="136" t="str">
        <f>$U$218</f>
        <v>calcite</v>
      </c>
      <c r="BE180" s="193" t="s">
        <v>71</v>
      </c>
      <c r="BF180" s="136">
        <v>27</v>
      </c>
      <c r="BG180" s="136" t="s">
        <v>59</v>
      </c>
      <c r="BH180" s="136" t="str">
        <f>$F$218</f>
        <v>C1.3A0.1SH3</v>
      </c>
      <c r="BI180" s="136" t="str">
        <f>$E$218</f>
        <v>C1.75A0.05SH4.3</v>
      </c>
      <c r="BJ180" s="136" t="str">
        <f>$D$218</f>
        <v>C1.75SH4.4</v>
      </c>
      <c r="BK180" s="136" t="str">
        <f>$V$218</f>
        <v>thaumasite</v>
      </c>
      <c r="BL180" s="136" t="str">
        <f>$U$218</f>
        <v>calcite</v>
      </c>
      <c r="BM180" s="138" t="s">
        <v>72</v>
      </c>
      <c r="BN180" s="136">
        <v>27</v>
      </c>
      <c r="BO180" s="136" t="s">
        <v>59</v>
      </c>
      <c r="BP180" s="136" t="str">
        <f>$F$218</f>
        <v>C1.3A0.1SH3</v>
      </c>
      <c r="BQ180" s="136" t="str">
        <f>$H$218</f>
        <v>C0.67SH1.8</v>
      </c>
      <c r="BR180" s="136" t="str">
        <f>$D$218</f>
        <v>C1.75SH4.4</v>
      </c>
      <c r="BS180" s="136" t="str">
        <f>$V$218</f>
        <v>thaumasite</v>
      </c>
      <c r="BT180" s="137" t="str">
        <f>$U$218</f>
        <v>calcite</v>
      </c>
    </row>
    <row r="181" spans="1:72" hidden="1" outlineLevel="1" x14ac:dyDescent="0.2">
      <c r="A181" s="132"/>
      <c r="B181" s="133"/>
      <c r="C181" s="138">
        <v>0</v>
      </c>
      <c r="D181" s="138">
        <f>$I$219</f>
        <v>0.26810599086468712</v>
      </c>
      <c r="E181" s="138">
        <f>$J$219</f>
        <v>8.8921476117117551E-2</v>
      </c>
      <c r="F181" s="138">
        <f>$L$219</f>
        <v>0</v>
      </c>
      <c r="G181" s="138">
        <f>$V$219</f>
        <v>9.0066857826695823E-2</v>
      </c>
      <c r="H181" s="138">
        <f>$U$219</f>
        <v>0</v>
      </c>
      <c r="I181" s="133"/>
      <c r="J181" s="133"/>
      <c r="K181" s="138">
        <v>0</v>
      </c>
      <c r="L181" s="138">
        <f>$K$219</f>
        <v>0</v>
      </c>
      <c r="M181" s="138">
        <f>$J$219</f>
        <v>8.8921476117117551E-2</v>
      </c>
      <c r="N181" s="138">
        <f>$L$219</f>
        <v>0</v>
      </c>
      <c r="O181" s="138">
        <f>$V$219</f>
        <v>9.0066857826695823E-2</v>
      </c>
      <c r="P181" s="138">
        <f>$U$219</f>
        <v>0</v>
      </c>
      <c r="Q181" s="133"/>
      <c r="R181" s="133"/>
      <c r="S181" s="138">
        <v>0</v>
      </c>
      <c r="T181" s="138">
        <f>$I$219</f>
        <v>0.26810599086468712</v>
      </c>
      <c r="U181" s="138">
        <f>$J$219</f>
        <v>8.8921476117117551E-2</v>
      </c>
      <c r="V181" s="138">
        <f>$G$219</f>
        <v>0.26974658269181312</v>
      </c>
      <c r="W181" s="138">
        <f>$V$219</f>
        <v>9.0066857826695823E-2</v>
      </c>
      <c r="X181" s="138">
        <f>$U$219</f>
        <v>0</v>
      </c>
      <c r="Y181" s="133"/>
      <c r="Z181" s="133"/>
      <c r="AA181" s="138">
        <v>0</v>
      </c>
      <c r="AB181" s="138">
        <f>$K$219</f>
        <v>0</v>
      </c>
      <c r="AC181" s="138">
        <f>$J$219</f>
        <v>8.8921476117117551E-2</v>
      </c>
      <c r="AD181" s="138">
        <f>$G$219</f>
        <v>0.26974658269181312</v>
      </c>
      <c r="AE181" s="138">
        <f>$V$219</f>
        <v>9.0066857826695823E-2</v>
      </c>
      <c r="AF181" s="138">
        <f>$U$219</f>
        <v>0</v>
      </c>
      <c r="AG181" s="133"/>
      <c r="AH181" s="133"/>
      <c r="AI181" s="138">
        <v>0</v>
      </c>
      <c r="AJ181" s="138">
        <f>$K$219</f>
        <v>0</v>
      </c>
      <c r="AK181" s="138">
        <f>$H$219</f>
        <v>0.28004746800509844</v>
      </c>
      <c r="AL181" s="138">
        <f>$G$219</f>
        <v>0.26974658269181312</v>
      </c>
      <c r="AM181" s="138">
        <f>$V$219</f>
        <v>9.0066857826695823E-2</v>
      </c>
      <c r="AN181" s="138">
        <f>$U$219</f>
        <v>0</v>
      </c>
      <c r="AO181" s="133"/>
      <c r="AP181" s="133"/>
      <c r="AQ181" s="138">
        <v>0</v>
      </c>
      <c r="AR181" s="138">
        <f>$F$219</f>
        <v>0.36962820238752458</v>
      </c>
      <c r="AS181" s="138">
        <f>$I$219</f>
        <v>0.26810599086468712</v>
      </c>
      <c r="AT181" s="138">
        <f>$G$219</f>
        <v>0.26974658269181312</v>
      </c>
      <c r="AU181" s="138">
        <f>$V$219</f>
        <v>9.0066857826695823E-2</v>
      </c>
      <c r="AV181" s="138">
        <f>$U$219</f>
        <v>0</v>
      </c>
      <c r="AW181" s="133"/>
      <c r="AX181" s="133"/>
      <c r="AY181" s="138">
        <v>0</v>
      </c>
      <c r="AZ181" s="138">
        <f>$F$219</f>
        <v>0.36962820238752458</v>
      </c>
      <c r="BA181" s="138">
        <f>$H$219</f>
        <v>0.28004746800509844</v>
      </c>
      <c r="BB181" s="138">
        <f>$G$219</f>
        <v>0.26974658269181312</v>
      </c>
      <c r="BC181" s="138">
        <f>$V$219</f>
        <v>9.0066857826695823E-2</v>
      </c>
      <c r="BD181" s="138">
        <f>$U$219</f>
        <v>0</v>
      </c>
      <c r="BE181" s="132"/>
      <c r="BF181" s="133"/>
      <c r="BG181" s="138">
        <v>0</v>
      </c>
      <c r="BH181" s="138">
        <f>$F$219</f>
        <v>0.36962820238752458</v>
      </c>
      <c r="BI181" s="138">
        <f>$E$219</f>
        <v>0.41692537379616368</v>
      </c>
      <c r="BJ181" s="138">
        <f>$D$219</f>
        <v>0.42615545963501011</v>
      </c>
      <c r="BK181" s="138">
        <f>$V$219</f>
        <v>9.0066857826695823E-2</v>
      </c>
      <c r="BL181" s="138">
        <f>$U$219</f>
        <v>0</v>
      </c>
      <c r="BM181" s="133"/>
      <c r="BN181" s="133"/>
      <c r="BO181" s="138">
        <v>0</v>
      </c>
      <c r="BP181" s="138">
        <f>$F$219</f>
        <v>0.36962820238752458</v>
      </c>
      <c r="BQ181" s="138">
        <f>$H$219</f>
        <v>0.28004746800509844</v>
      </c>
      <c r="BR181" s="138">
        <f>$D$219</f>
        <v>0.42615545963501011</v>
      </c>
      <c r="BS181" s="138">
        <f>$V$219</f>
        <v>9.0066857826695823E-2</v>
      </c>
      <c r="BT181" s="139">
        <f>$U$219</f>
        <v>0</v>
      </c>
    </row>
    <row r="182" spans="1:72" hidden="1" outlineLevel="1" x14ac:dyDescent="0.2">
      <c r="A182" s="132"/>
      <c r="B182" s="133"/>
      <c r="C182" s="138">
        <v>0</v>
      </c>
      <c r="D182" s="138">
        <f>$I$220</f>
        <v>0.1436314877910809</v>
      </c>
      <c r="E182" s="138">
        <f>$J$220</f>
        <v>0.57165110873154523</v>
      </c>
      <c r="F182" s="138">
        <f>$L$220</f>
        <v>0</v>
      </c>
      <c r="G182" s="138">
        <f>$V$220</f>
        <v>9.6502407488873232E-2</v>
      </c>
      <c r="H182" s="138">
        <f>$U$220</f>
        <v>0</v>
      </c>
      <c r="I182" s="133"/>
      <c r="J182" s="133"/>
      <c r="K182" s="138">
        <v>0</v>
      </c>
      <c r="L182" s="138">
        <f>$K$220</f>
        <v>0.99999999999999989</v>
      </c>
      <c r="M182" s="138">
        <f>$J$220</f>
        <v>0.57165110873154523</v>
      </c>
      <c r="N182" s="138">
        <f>$L$220</f>
        <v>0</v>
      </c>
      <c r="O182" s="138">
        <f>$V$220</f>
        <v>9.6502407488873232E-2</v>
      </c>
      <c r="P182" s="138">
        <f>$U$220</f>
        <v>0</v>
      </c>
      <c r="Q182" s="133"/>
      <c r="R182" s="133"/>
      <c r="S182" s="138">
        <v>0</v>
      </c>
      <c r="T182" s="138">
        <f>$I$220</f>
        <v>0.1436314877910809</v>
      </c>
      <c r="U182" s="138">
        <f>$J$220</f>
        <v>0.57165110873154523</v>
      </c>
      <c r="V182" s="138">
        <f>$G$220</f>
        <v>0.43350951351747569</v>
      </c>
      <c r="W182" s="138">
        <f>$V$220</f>
        <v>9.6502407488873232E-2</v>
      </c>
      <c r="X182" s="138">
        <f>$U$220</f>
        <v>0</v>
      </c>
      <c r="Y182" s="133"/>
      <c r="Z182" s="133"/>
      <c r="AA182" s="138">
        <v>0</v>
      </c>
      <c r="AB182" s="138">
        <f>$K$220</f>
        <v>0.99999999999999989</v>
      </c>
      <c r="AC182" s="138">
        <f>$J$220</f>
        <v>0.57165110873154523</v>
      </c>
      <c r="AD182" s="138">
        <f>$G$220</f>
        <v>0.43350951351747569</v>
      </c>
      <c r="AE182" s="138">
        <f>$V$220</f>
        <v>9.6502407488873232E-2</v>
      </c>
      <c r="AF182" s="138">
        <f>$U$220</f>
        <v>0</v>
      </c>
      <c r="AG182" s="133"/>
      <c r="AH182" s="133"/>
      <c r="AI182" s="138">
        <v>0</v>
      </c>
      <c r="AJ182" s="138">
        <f>$K$220</f>
        <v>0.99999999999999989</v>
      </c>
      <c r="AK182" s="138">
        <f>$H$220</f>
        <v>0.45006405792133763</v>
      </c>
      <c r="AL182" s="138">
        <f>$G$220</f>
        <v>0.43350951351747569</v>
      </c>
      <c r="AM182" s="138">
        <f>$V$220</f>
        <v>9.6502407488873232E-2</v>
      </c>
      <c r="AN182" s="138">
        <f>$U$220</f>
        <v>0</v>
      </c>
      <c r="AO182" s="133"/>
      <c r="AP182" s="133"/>
      <c r="AQ182" s="138">
        <v>0</v>
      </c>
      <c r="AR182" s="138">
        <f>$F$220</f>
        <v>0.30464558189920393</v>
      </c>
      <c r="AS182" s="138">
        <f>$I$220</f>
        <v>0.1436314877910809</v>
      </c>
      <c r="AT182" s="138">
        <f>$G$220</f>
        <v>0.43350951351747569</v>
      </c>
      <c r="AU182" s="138">
        <f>$V$220</f>
        <v>9.6502407488873232E-2</v>
      </c>
      <c r="AV182" s="138">
        <f>$U$220</f>
        <v>0</v>
      </c>
      <c r="AW182" s="133"/>
      <c r="AX182" s="133"/>
      <c r="AY182" s="138">
        <v>0</v>
      </c>
      <c r="AZ182" s="138">
        <f>$F$220</f>
        <v>0.30464558189920393</v>
      </c>
      <c r="BA182" s="138">
        <f>$H$220</f>
        <v>0.45006405792133763</v>
      </c>
      <c r="BB182" s="138">
        <f>$G$220</f>
        <v>0.43350951351747569</v>
      </c>
      <c r="BC182" s="138">
        <f>$V$220</f>
        <v>9.6502407488873232E-2</v>
      </c>
      <c r="BD182" s="138">
        <f>$U$220</f>
        <v>0</v>
      </c>
      <c r="BE182" s="132"/>
      <c r="BF182" s="133"/>
      <c r="BG182" s="138">
        <v>0</v>
      </c>
      <c r="BH182" s="138">
        <f>$F$220</f>
        <v>0.30464558189920393</v>
      </c>
      <c r="BI182" s="138">
        <f>$E$220</f>
        <v>0.25526625940759262</v>
      </c>
      <c r="BJ182" s="138">
        <f>$D$220</f>
        <v>0.26091746135925231</v>
      </c>
      <c r="BK182" s="138">
        <f>$V$220</f>
        <v>9.6502407488873232E-2</v>
      </c>
      <c r="BL182" s="138">
        <f>$U$220</f>
        <v>0</v>
      </c>
      <c r="BM182" s="133"/>
      <c r="BN182" s="133"/>
      <c r="BO182" s="138">
        <v>0</v>
      </c>
      <c r="BP182" s="138">
        <f>$F$220</f>
        <v>0.30464558189920393</v>
      </c>
      <c r="BQ182" s="138">
        <f>$H$220</f>
        <v>0.45006405792133763</v>
      </c>
      <c r="BR182" s="138">
        <f>$D$220</f>
        <v>0.26091746135925231</v>
      </c>
      <c r="BS182" s="138">
        <f>$V$220</f>
        <v>9.6502407488873232E-2</v>
      </c>
      <c r="BT182" s="139">
        <f>$U$220</f>
        <v>0</v>
      </c>
    </row>
    <row r="183" spans="1:72" hidden="1" outlineLevel="1" x14ac:dyDescent="0.2">
      <c r="A183" s="132"/>
      <c r="B183" s="133"/>
      <c r="C183" s="138">
        <v>0</v>
      </c>
      <c r="D183" s="138">
        <f>$I$221</f>
        <v>0.24373838184384281</v>
      </c>
      <c r="E183" s="138">
        <f>$J$221</f>
        <v>0.16167916748186939</v>
      </c>
      <c r="F183" s="138">
        <f>$L$221</f>
        <v>0.65356811475743049</v>
      </c>
      <c r="G183" s="138">
        <f>$V$221</f>
        <v>0</v>
      </c>
      <c r="H183" s="138">
        <f>$U$221</f>
        <v>0</v>
      </c>
      <c r="I183" s="133"/>
      <c r="J183" s="133"/>
      <c r="K183" s="138">
        <v>0</v>
      </c>
      <c r="L183" s="138">
        <f>$K$221</f>
        <v>0</v>
      </c>
      <c r="M183" s="138">
        <f>$J$221</f>
        <v>0.16167916748186939</v>
      </c>
      <c r="N183" s="138">
        <f>$L$221</f>
        <v>0.65356811475743049</v>
      </c>
      <c r="O183" s="138">
        <f>$V$221</f>
        <v>0</v>
      </c>
      <c r="P183" s="138">
        <f>$U$221</f>
        <v>0</v>
      </c>
      <c r="Q183" s="133"/>
      <c r="R183" s="133"/>
      <c r="S183" s="138">
        <v>0</v>
      </c>
      <c r="T183" s="138">
        <f>$I$221</f>
        <v>0.24373838184384281</v>
      </c>
      <c r="U183" s="138">
        <f>$J$221</f>
        <v>0.16167916748186939</v>
      </c>
      <c r="V183" s="138">
        <f>$G$221</f>
        <v>3.6782640409724413E-2</v>
      </c>
      <c r="W183" s="138">
        <f>$V$221</f>
        <v>0</v>
      </c>
      <c r="X183" s="138">
        <f>$U$221</f>
        <v>0</v>
      </c>
      <c r="Y183" s="133"/>
      <c r="Z183" s="133"/>
      <c r="AA183" s="138">
        <v>0</v>
      </c>
      <c r="AB183" s="138">
        <f>$K$221</f>
        <v>0</v>
      </c>
      <c r="AC183" s="138">
        <f>$J$221</f>
        <v>0.16167916748186939</v>
      </c>
      <c r="AD183" s="138">
        <f>$G$221</f>
        <v>3.6782640409724413E-2</v>
      </c>
      <c r="AE183" s="138">
        <f>$V$221</f>
        <v>0</v>
      </c>
      <c r="AF183" s="138">
        <f>$U$221</f>
        <v>0</v>
      </c>
      <c r="AG183" s="133"/>
      <c r="AH183" s="133"/>
      <c r="AI183" s="138">
        <v>0</v>
      </c>
      <c r="AJ183" s="138">
        <f>$K$221</f>
        <v>0</v>
      </c>
      <c r="AK183" s="138">
        <f>$H$221</f>
        <v>0</v>
      </c>
      <c r="AL183" s="138">
        <f>$G$221</f>
        <v>3.6782640409724413E-2</v>
      </c>
      <c r="AM183" s="138">
        <f>$V$221</f>
        <v>0</v>
      </c>
      <c r="AN183" s="138">
        <f>$U$221</f>
        <v>0</v>
      </c>
      <c r="AO183" s="133"/>
      <c r="AP183" s="133"/>
      <c r="AQ183" s="138">
        <v>0</v>
      </c>
      <c r="AR183" s="138">
        <f>$F$221</f>
        <v>5.169745319076114E-2</v>
      </c>
      <c r="AS183" s="138">
        <f>$I$221</f>
        <v>0.24373838184384281</v>
      </c>
      <c r="AT183" s="138">
        <f>$G$221</f>
        <v>3.6782640409724413E-2</v>
      </c>
      <c r="AU183" s="138">
        <f>$V$221</f>
        <v>0</v>
      </c>
      <c r="AV183" s="138">
        <f>$U$221</f>
        <v>0</v>
      </c>
      <c r="AW183" s="133"/>
      <c r="AX183" s="133"/>
      <c r="AY183" s="138">
        <v>0</v>
      </c>
      <c r="AZ183" s="138">
        <f>$F$221</f>
        <v>5.169745319076114E-2</v>
      </c>
      <c r="BA183" s="138">
        <f>$H$221</f>
        <v>0</v>
      </c>
      <c r="BB183" s="138">
        <f>$G$221</f>
        <v>3.6782640409724413E-2</v>
      </c>
      <c r="BC183" s="138">
        <f>$V$221</f>
        <v>0</v>
      </c>
      <c r="BD183" s="138">
        <f>$U$221</f>
        <v>0</v>
      </c>
      <c r="BE183" s="132"/>
      <c r="BF183" s="133"/>
      <c r="BG183" s="138">
        <v>0</v>
      </c>
      <c r="BH183" s="138">
        <f>$F$221</f>
        <v>5.169745319076114E-2</v>
      </c>
      <c r="BI183" s="138">
        <f>$E$221</f>
        <v>2.1658964188213614E-2</v>
      </c>
      <c r="BJ183" s="138">
        <f>$D$221</f>
        <v>0</v>
      </c>
      <c r="BK183" s="138">
        <f>$V$221</f>
        <v>0</v>
      </c>
      <c r="BL183" s="138">
        <f>$U$221</f>
        <v>0</v>
      </c>
      <c r="BM183" s="133"/>
      <c r="BN183" s="133"/>
      <c r="BO183" s="138">
        <v>0</v>
      </c>
      <c r="BP183" s="138">
        <f>$F$221</f>
        <v>5.169745319076114E-2</v>
      </c>
      <c r="BQ183" s="138">
        <f>$H$221</f>
        <v>0</v>
      </c>
      <c r="BR183" s="138">
        <f>$D$221</f>
        <v>0</v>
      </c>
      <c r="BS183" s="138">
        <f>$V$221</f>
        <v>0</v>
      </c>
      <c r="BT183" s="139">
        <f>$U$221</f>
        <v>0</v>
      </c>
    </row>
    <row r="184" spans="1:72" hidden="1" outlineLevel="1" x14ac:dyDescent="0.2">
      <c r="A184" s="132"/>
      <c r="B184" s="133"/>
      <c r="C184" s="138">
        <v>0</v>
      </c>
      <c r="D184" s="138">
        <f>$I$222</f>
        <v>0</v>
      </c>
      <c r="E184" s="138">
        <f>$J$222</f>
        <v>0</v>
      </c>
      <c r="F184" s="138">
        <f>$L$222</f>
        <v>0</v>
      </c>
      <c r="G184" s="138">
        <f>$V$222</f>
        <v>0.16075173978593996</v>
      </c>
      <c r="H184" s="138">
        <f>$U$222</f>
        <v>1</v>
      </c>
      <c r="I184" s="133"/>
      <c r="J184" s="133"/>
      <c r="K184" s="138">
        <v>0</v>
      </c>
      <c r="L184" s="138">
        <f>$K$222</f>
        <v>0</v>
      </c>
      <c r="M184" s="138">
        <f>$J$222</f>
        <v>0</v>
      </c>
      <c r="N184" s="138">
        <f>$L$222</f>
        <v>0</v>
      </c>
      <c r="O184" s="138">
        <f>$V$222</f>
        <v>0.16075173978593996</v>
      </c>
      <c r="P184" s="138">
        <f>$U$222</f>
        <v>1</v>
      </c>
      <c r="Q184" s="133"/>
      <c r="R184" s="133"/>
      <c r="S184" s="138">
        <v>0</v>
      </c>
      <c r="T184" s="138">
        <f>$I$222</f>
        <v>0</v>
      </c>
      <c r="U184" s="138">
        <f>$J$222</f>
        <v>0</v>
      </c>
      <c r="V184" s="138">
        <f>$G$222</f>
        <v>0</v>
      </c>
      <c r="W184" s="138">
        <f>$V$222</f>
        <v>0.16075173978593996</v>
      </c>
      <c r="X184" s="138">
        <f>$U$222</f>
        <v>1</v>
      </c>
      <c r="Y184" s="133"/>
      <c r="Z184" s="133"/>
      <c r="AA184" s="138">
        <v>0</v>
      </c>
      <c r="AB184" s="138">
        <f>$K$222</f>
        <v>0</v>
      </c>
      <c r="AC184" s="138">
        <f>$J$222</f>
        <v>0</v>
      </c>
      <c r="AD184" s="138">
        <f>$G$222</f>
        <v>0</v>
      </c>
      <c r="AE184" s="138">
        <f>$V$222</f>
        <v>0.16075173978593996</v>
      </c>
      <c r="AF184" s="138">
        <f>$U$222</f>
        <v>1</v>
      </c>
      <c r="AG184" s="133"/>
      <c r="AH184" s="133"/>
      <c r="AI184" s="138">
        <v>0</v>
      </c>
      <c r="AJ184" s="138">
        <f>$K$222</f>
        <v>0</v>
      </c>
      <c r="AK184" s="138">
        <f>$H$222</f>
        <v>0</v>
      </c>
      <c r="AL184" s="138">
        <f>$G$222</f>
        <v>0</v>
      </c>
      <c r="AM184" s="138">
        <f>$V$222</f>
        <v>0.16075173978593996</v>
      </c>
      <c r="AN184" s="138">
        <f>$U$222</f>
        <v>1</v>
      </c>
      <c r="AO184" s="133"/>
      <c r="AP184" s="133"/>
      <c r="AQ184" s="138">
        <v>0</v>
      </c>
      <c r="AR184" s="138">
        <f>$F$222</f>
        <v>0</v>
      </c>
      <c r="AS184" s="138">
        <f>$I$222</f>
        <v>0</v>
      </c>
      <c r="AT184" s="138">
        <f>$G$222</f>
        <v>0</v>
      </c>
      <c r="AU184" s="138">
        <f>$V$222</f>
        <v>0.16075173978593996</v>
      </c>
      <c r="AV184" s="138">
        <f>$U$222</f>
        <v>1</v>
      </c>
      <c r="AW184" s="133"/>
      <c r="AX184" s="133"/>
      <c r="AY184" s="138">
        <v>0</v>
      </c>
      <c r="AZ184" s="138">
        <f>$F$222</f>
        <v>0</v>
      </c>
      <c r="BA184" s="138">
        <f>$H$222</f>
        <v>0</v>
      </c>
      <c r="BB184" s="138">
        <f>$G$222</f>
        <v>0</v>
      </c>
      <c r="BC184" s="138">
        <f>$V$222</f>
        <v>0.16075173978593996</v>
      </c>
      <c r="BD184" s="138">
        <f>$U$222</f>
        <v>1</v>
      </c>
      <c r="BE184" s="132"/>
      <c r="BF184" s="133"/>
      <c r="BG184" s="138">
        <v>0</v>
      </c>
      <c r="BH184" s="138">
        <f>$F$222</f>
        <v>0</v>
      </c>
      <c r="BI184" s="138">
        <f>$E$222</f>
        <v>0</v>
      </c>
      <c r="BJ184" s="138">
        <f>$D$222</f>
        <v>0</v>
      </c>
      <c r="BK184" s="138">
        <f>$V$222</f>
        <v>0.16075173978593996</v>
      </c>
      <c r="BL184" s="138">
        <f>$U$222</f>
        <v>1</v>
      </c>
      <c r="BM184" s="133"/>
      <c r="BN184" s="133"/>
      <c r="BO184" s="138">
        <v>0</v>
      </c>
      <c r="BP184" s="138">
        <f>$F$222</f>
        <v>0</v>
      </c>
      <c r="BQ184" s="138">
        <f>$H$222</f>
        <v>0</v>
      </c>
      <c r="BR184" s="138">
        <f>$D$222</f>
        <v>0</v>
      </c>
      <c r="BS184" s="138">
        <f>$V$222</f>
        <v>0.16075173978593996</v>
      </c>
      <c r="BT184" s="139">
        <f>$U$222</f>
        <v>1</v>
      </c>
    </row>
    <row r="185" spans="1:72" hidden="1" outlineLevel="1" x14ac:dyDescent="0.2">
      <c r="A185" s="132"/>
      <c r="B185" s="133"/>
      <c r="C185" s="138">
        <v>0</v>
      </c>
      <c r="D185" s="138">
        <f>$I$223</f>
        <v>0</v>
      </c>
      <c r="E185" s="138">
        <f>$J$223</f>
        <v>0</v>
      </c>
      <c r="F185" s="138">
        <f>$L$223</f>
        <v>0</v>
      </c>
      <c r="G185" s="138">
        <f>$V$223</f>
        <v>0.21865931964568422</v>
      </c>
      <c r="H185" s="138">
        <f>$U$223</f>
        <v>0</v>
      </c>
      <c r="I185" s="133"/>
      <c r="J185" s="133"/>
      <c r="K185" s="138">
        <v>0</v>
      </c>
      <c r="L185" s="138">
        <f>$K$223</f>
        <v>0</v>
      </c>
      <c r="M185" s="138">
        <f>$J$223</f>
        <v>0</v>
      </c>
      <c r="N185" s="138">
        <f>$L$223</f>
        <v>0</v>
      </c>
      <c r="O185" s="138">
        <f>$V$223</f>
        <v>0.21865931964568422</v>
      </c>
      <c r="P185" s="138">
        <f>$U$223</f>
        <v>0</v>
      </c>
      <c r="Q185" s="133"/>
      <c r="R185" s="133"/>
      <c r="S185" s="138">
        <v>0</v>
      </c>
      <c r="T185" s="138">
        <f>$I$223</f>
        <v>0</v>
      </c>
      <c r="U185" s="138">
        <f>$J$223</f>
        <v>0</v>
      </c>
      <c r="V185" s="138">
        <f>$G$223</f>
        <v>0</v>
      </c>
      <c r="W185" s="138">
        <f>$V$223</f>
        <v>0.21865931964568422</v>
      </c>
      <c r="X185" s="138">
        <f>$U$223</f>
        <v>0</v>
      </c>
      <c r="Y185" s="133"/>
      <c r="Z185" s="133"/>
      <c r="AA185" s="138">
        <v>0</v>
      </c>
      <c r="AB185" s="138">
        <f>$K$223</f>
        <v>0</v>
      </c>
      <c r="AC185" s="138">
        <f>$J$223</f>
        <v>0</v>
      </c>
      <c r="AD185" s="138">
        <f>$G$223</f>
        <v>0</v>
      </c>
      <c r="AE185" s="138">
        <f>$V$223</f>
        <v>0.21865931964568422</v>
      </c>
      <c r="AF185" s="138">
        <f>$U$223</f>
        <v>0</v>
      </c>
      <c r="AG185" s="133"/>
      <c r="AH185" s="133"/>
      <c r="AI185" s="138">
        <v>0</v>
      </c>
      <c r="AJ185" s="138">
        <f>$K$223</f>
        <v>0</v>
      </c>
      <c r="AK185" s="138">
        <f>$H$223</f>
        <v>0</v>
      </c>
      <c r="AL185" s="138">
        <f>$G$223</f>
        <v>0</v>
      </c>
      <c r="AM185" s="138">
        <f>$V$223</f>
        <v>0.21865931964568422</v>
      </c>
      <c r="AN185" s="138">
        <f>$U$223</f>
        <v>0</v>
      </c>
      <c r="AO185" s="133"/>
      <c r="AP185" s="133"/>
      <c r="AQ185" s="138">
        <v>0</v>
      </c>
      <c r="AR185" s="138">
        <f>$F$223</f>
        <v>0</v>
      </c>
      <c r="AS185" s="138">
        <f>$I$223</f>
        <v>0</v>
      </c>
      <c r="AT185" s="138">
        <f>$G$223</f>
        <v>0</v>
      </c>
      <c r="AU185" s="138">
        <f>$V$223</f>
        <v>0.21865931964568422</v>
      </c>
      <c r="AV185" s="138">
        <f>$U$223</f>
        <v>0</v>
      </c>
      <c r="AW185" s="133"/>
      <c r="AX185" s="133"/>
      <c r="AY185" s="138">
        <v>0</v>
      </c>
      <c r="AZ185" s="138">
        <f>$F$223</f>
        <v>0</v>
      </c>
      <c r="BA185" s="138">
        <f>$H$223</f>
        <v>0</v>
      </c>
      <c r="BB185" s="138">
        <f>$G$223</f>
        <v>0</v>
      </c>
      <c r="BC185" s="138">
        <f>$V$223</f>
        <v>0.21865931964568422</v>
      </c>
      <c r="BD185" s="138">
        <f>$U$223</f>
        <v>0</v>
      </c>
      <c r="BE185" s="132"/>
      <c r="BF185" s="133"/>
      <c r="BG185" s="138">
        <v>0</v>
      </c>
      <c r="BH185" s="138">
        <f>$F$223</f>
        <v>0</v>
      </c>
      <c r="BI185" s="138">
        <f>$E$223</f>
        <v>0</v>
      </c>
      <c r="BJ185" s="138">
        <f>$D$223</f>
        <v>0</v>
      </c>
      <c r="BK185" s="138">
        <f>$V$223</f>
        <v>0.21865931964568422</v>
      </c>
      <c r="BL185" s="138">
        <f>$U$223</f>
        <v>0</v>
      </c>
      <c r="BM185" s="133"/>
      <c r="BN185" s="133"/>
      <c r="BO185" s="138">
        <v>0</v>
      </c>
      <c r="BP185" s="138">
        <f>$F$223</f>
        <v>0</v>
      </c>
      <c r="BQ185" s="138">
        <f>$H$223</f>
        <v>0</v>
      </c>
      <c r="BR185" s="138">
        <f>$D$223</f>
        <v>0</v>
      </c>
      <c r="BS185" s="138">
        <f>$V$223</f>
        <v>0.21865931964568422</v>
      </c>
      <c r="BT185" s="139">
        <f>$U$223</f>
        <v>0</v>
      </c>
    </row>
    <row r="186" spans="1:72" hidden="1" outlineLevel="1" x14ac:dyDescent="0.2">
      <c r="A186" s="132"/>
      <c r="B186" s="133"/>
      <c r="C186" s="138">
        <v>1</v>
      </c>
      <c r="D186" s="138">
        <f>$I$224</f>
        <v>0.34452413950038913</v>
      </c>
      <c r="E186" s="138">
        <f>$J$224</f>
        <v>0.17774824766946792</v>
      </c>
      <c r="F186" s="138">
        <f>$L$224</f>
        <v>0.34643188524256951</v>
      </c>
      <c r="G186" s="138">
        <f>$V$224</f>
        <v>0.43401967525280682</v>
      </c>
      <c r="H186" s="138">
        <f>$U$224</f>
        <v>0</v>
      </c>
      <c r="I186" s="133"/>
      <c r="J186" s="133"/>
      <c r="K186" s="138">
        <v>1</v>
      </c>
      <c r="L186" s="138">
        <f>$K$224</f>
        <v>0</v>
      </c>
      <c r="M186" s="138">
        <f>$J$224</f>
        <v>0.17774824766946792</v>
      </c>
      <c r="N186" s="138">
        <f>$L$224</f>
        <v>0.34643188524256951</v>
      </c>
      <c r="O186" s="138">
        <f>$V$224</f>
        <v>0.43401967525280682</v>
      </c>
      <c r="P186" s="138">
        <f>$U$224</f>
        <v>0</v>
      </c>
      <c r="Q186" s="133"/>
      <c r="R186" s="133"/>
      <c r="S186" s="138">
        <v>1</v>
      </c>
      <c r="T186" s="138">
        <f>$I$224</f>
        <v>0.34452413950038913</v>
      </c>
      <c r="U186" s="138">
        <f>$J$224</f>
        <v>0.17774824766946792</v>
      </c>
      <c r="V186" s="138">
        <f>$G$224</f>
        <v>0.25996126338098668</v>
      </c>
      <c r="W186" s="138">
        <f>$V$224</f>
        <v>0.43401967525280682</v>
      </c>
      <c r="X186" s="138">
        <f>$U$224</f>
        <v>0</v>
      </c>
      <c r="Y186" s="133"/>
      <c r="Z186" s="133"/>
      <c r="AA186" s="138">
        <v>1</v>
      </c>
      <c r="AB186" s="138">
        <f>$K$224</f>
        <v>0</v>
      </c>
      <c r="AC186" s="138">
        <f>$J$224</f>
        <v>0.17774824766946792</v>
      </c>
      <c r="AD186" s="138">
        <f>$G$224</f>
        <v>0.25996126338098668</v>
      </c>
      <c r="AE186" s="138">
        <f>$V$224</f>
        <v>0.43401967525280682</v>
      </c>
      <c r="AF186" s="138">
        <f>$U$224</f>
        <v>0</v>
      </c>
      <c r="AG186" s="133"/>
      <c r="AH186" s="133"/>
      <c r="AI186" s="138">
        <v>1</v>
      </c>
      <c r="AJ186" s="138">
        <f>$K$224</f>
        <v>0</v>
      </c>
      <c r="AK186" s="138">
        <f>$H$224</f>
        <v>0.26988847407356381</v>
      </c>
      <c r="AL186" s="138">
        <f>$G$224</f>
        <v>0.25996126338098668</v>
      </c>
      <c r="AM186" s="138">
        <f>$V$224</f>
        <v>0.43401967525280682</v>
      </c>
      <c r="AN186" s="138">
        <f>$U$224</f>
        <v>0</v>
      </c>
      <c r="AO186" s="133"/>
      <c r="AP186" s="133"/>
      <c r="AQ186" s="138">
        <v>1</v>
      </c>
      <c r="AR186" s="138">
        <f>$F$224</f>
        <v>0.27402876252251041</v>
      </c>
      <c r="AS186" s="138">
        <f>$I$224</f>
        <v>0.34452413950038913</v>
      </c>
      <c r="AT186" s="138">
        <f>$G$224</f>
        <v>0.25996126338098668</v>
      </c>
      <c r="AU186" s="138">
        <f>$V$224</f>
        <v>0.43401967525280682</v>
      </c>
      <c r="AV186" s="138">
        <f>$U$224</f>
        <v>0</v>
      </c>
      <c r="AW186" s="133"/>
      <c r="AX186" s="133"/>
      <c r="AY186" s="138">
        <v>1</v>
      </c>
      <c r="AZ186" s="138">
        <f>$F$224</f>
        <v>0.27402876252251041</v>
      </c>
      <c r="BA186" s="138">
        <f>$H$224</f>
        <v>0.26988847407356381</v>
      </c>
      <c r="BB186" s="138">
        <f>$G$224</f>
        <v>0.25996126338098668</v>
      </c>
      <c r="BC186" s="138">
        <f>$V$224</f>
        <v>0.43401967525280682</v>
      </c>
      <c r="BD186" s="138">
        <f>$U$224</f>
        <v>0</v>
      </c>
      <c r="BE186" s="132"/>
      <c r="BF186" s="133"/>
      <c r="BG186" s="138">
        <v>1</v>
      </c>
      <c r="BH186" s="138">
        <f>$F$224</f>
        <v>0.27402876252251041</v>
      </c>
      <c r="BI186" s="138">
        <f>$E$224</f>
        <v>0.30614940260803009</v>
      </c>
      <c r="BJ186" s="138">
        <f>$D$224</f>
        <v>0.31292707900573768</v>
      </c>
      <c r="BK186" s="138">
        <f>$V$224</f>
        <v>0.43401967525280682</v>
      </c>
      <c r="BL186" s="138">
        <f>$U$224</f>
        <v>0</v>
      </c>
      <c r="BM186" s="133"/>
      <c r="BN186" s="133"/>
      <c r="BO186" s="138">
        <v>1</v>
      </c>
      <c r="BP186" s="138">
        <f>$F$224</f>
        <v>0.27402876252251041</v>
      </c>
      <c r="BQ186" s="138">
        <f>$H$224</f>
        <v>0.26988847407356381</v>
      </c>
      <c r="BR186" s="138">
        <f>$D$224</f>
        <v>0.31292707900573768</v>
      </c>
      <c r="BS186" s="138">
        <f>$V$224</f>
        <v>0.43401967525280682</v>
      </c>
      <c r="BT186" s="139">
        <f>$U$224</f>
        <v>0</v>
      </c>
    </row>
    <row r="187" spans="1:72" hidden="1" outlineLevel="1" x14ac:dyDescent="0.2">
      <c r="A187" s="132"/>
      <c r="B187" s="133"/>
      <c r="C187" s="140">
        <f t="shared" ref="C187:H187" si="124">SUM(C181:C186)</f>
        <v>1</v>
      </c>
      <c r="D187" s="140">
        <f t="shared" si="124"/>
        <v>1</v>
      </c>
      <c r="E187" s="140">
        <f t="shared" si="124"/>
        <v>1</v>
      </c>
      <c r="F187" s="140">
        <f t="shared" si="124"/>
        <v>1</v>
      </c>
      <c r="G187" s="140">
        <f t="shared" si="124"/>
        <v>1</v>
      </c>
      <c r="H187" s="140">
        <f t="shared" si="124"/>
        <v>1</v>
      </c>
      <c r="I187" s="133"/>
      <c r="J187" s="133"/>
      <c r="K187" s="140">
        <f t="shared" ref="K187:P187" si="125">SUM(K181:K186)</f>
        <v>1</v>
      </c>
      <c r="L187" s="140">
        <f t="shared" si="125"/>
        <v>0.99999999999999989</v>
      </c>
      <c r="M187" s="140">
        <f t="shared" si="125"/>
        <v>1</v>
      </c>
      <c r="N187" s="140">
        <f t="shared" si="125"/>
        <v>1</v>
      </c>
      <c r="O187" s="140">
        <f t="shared" si="125"/>
        <v>1</v>
      </c>
      <c r="P187" s="140">
        <f t="shared" si="125"/>
        <v>1</v>
      </c>
      <c r="Q187" s="133"/>
      <c r="R187" s="133"/>
      <c r="S187" s="140">
        <f t="shared" ref="S187:X187" si="126">SUM(S181:S186)</f>
        <v>1</v>
      </c>
      <c r="T187" s="140">
        <f t="shared" si="126"/>
        <v>1</v>
      </c>
      <c r="U187" s="140">
        <f t="shared" si="126"/>
        <v>1</v>
      </c>
      <c r="V187" s="140">
        <f t="shared" si="126"/>
        <v>1</v>
      </c>
      <c r="W187" s="140">
        <f t="shared" si="126"/>
        <v>1</v>
      </c>
      <c r="X187" s="140">
        <f t="shared" si="126"/>
        <v>1</v>
      </c>
      <c r="Y187" s="133"/>
      <c r="Z187" s="133"/>
      <c r="AA187" s="140">
        <f t="shared" ref="AA187:AF187" si="127">SUM(AA181:AA186)</f>
        <v>1</v>
      </c>
      <c r="AB187" s="140">
        <f t="shared" si="127"/>
        <v>0.99999999999999989</v>
      </c>
      <c r="AC187" s="140">
        <f t="shared" si="127"/>
        <v>1</v>
      </c>
      <c r="AD187" s="140">
        <f t="shared" si="127"/>
        <v>1</v>
      </c>
      <c r="AE187" s="140">
        <f t="shared" si="127"/>
        <v>1</v>
      </c>
      <c r="AF187" s="140">
        <f t="shared" si="127"/>
        <v>1</v>
      </c>
      <c r="AG187" s="133"/>
      <c r="AH187" s="133"/>
      <c r="AI187" s="140">
        <f t="shared" ref="AI187:AN187" si="128">SUM(AI181:AI186)</f>
        <v>1</v>
      </c>
      <c r="AJ187" s="140">
        <f t="shared" si="128"/>
        <v>0.99999999999999989</v>
      </c>
      <c r="AK187" s="140">
        <f t="shared" si="128"/>
        <v>1</v>
      </c>
      <c r="AL187" s="140">
        <f t="shared" si="128"/>
        <v>1</v>
      </c>
      <c r="AM187" s="140">
        <f t="shared" si="128"/>
        <v>1</v>
      </c>
      <c r="AN187" s="140">
        <f t="shared" si="128"/>
        <v>1</v>
      </c>
      <c r="AO187" s="133"/>
      <c r="AP187" s="133"/>
      <c r="AQ187" s="140">
        <f t="shared" ref="AQ187:AV187" si="129">SUM(AQ181:AQ186)</f>
        <v>1</v>
      </c>
      <c r="AR187" s="140">
        <f t="shared" si="129"/>
        <v>1</v>
      </c>
      <c r="AS187" s="140">
        <f t="shared" si="129"/>
        <v>1</v>
      </c>
      <c r="AT187" s="140">
        <f t="shared" si="129"/>
        <v>1</v>
      </c>
      <c r="AU187" s="140">
        <f t="shared" si="129"/>
        <v>1</v>
      </c>
      <c r="AV187" s="140">
        <f t="shared" si="129"/>
        <v>1</v>
      </c>
      <c r="AW187" s="133"/>
      <c r="AX187" s="133"/>
      <c r="AY187" s="140">
        <f t="shared" ref="AY187:BD187" si="130">SUM(AY181:AY186)</f>
        <v>1</v>
      </c>
      <c r="AZ187" s="140">
        <f t="shared" si="130"/>
        <v>1</v>
      </c>
      <c r="BA187" s="140">
        <f t="shared" si="130"/>
        <v>1</v>
      </c>
      <c r="BB187" s="140">
        <f t="shared" si="130"/>
        <v>1</v>
      </c>
      <c r="BC187" s="140">
        <f t="shared" si="130"/>
        <v>1</v>
      </c>
      <c r="BD187" s="140">
        <f t="shared" si="130"/>
        <v>1</v>
      </c>
      <c r="BE187" s="132"/>
      <c r="BF187" s="133"/>
      <c r="BG187" s="140">
        <f t="shared" ref="BG187:BL187" si="131">SUM(BG181:BG186)</f>
        <v>1</v>
      </c>
      <c r="BH187" s="140">
        <f t="shared" si="131"/>
        <v>1</v>
      </c>
      <c r="BI187" s="140">
        <f t="shared" si="131"/>
        <v>1</v>
      </c>
      <c r="BJ187" s="140">
        <f t="shared" si="131"/>
        <v>1</v>
      </c>
      <c r="BK187" s="140">
        <f t="shared" si="131"/>
        <v>1</v>
      </c>
      <c r="BL187" s="140">
        <f t="shared" si="131"/>
        <v>1</v>
      </c>
      <c r="BM187" s="133"/>
      <c r="BN187" s="133"/>
      <c r="BO187" s="140">
        <f t="shared" ref="BO187:BT187" si="132">SUM(BO181:BO186)</f>
        <v>1</v>
      </c>
      <c r="BP187" s="140">
        <f t="shared" si="132"/>
        <v>1</v>
      </c>
      <c r="BQ187" s="140">
        <f t="shared" si="132"/>
        <v>1</v>
      </c>
      <c r="BR187" s="140">
        <f t="shared" si="132"/>
        <v>1</v>
      </c>
      <c r="BS187" s="140">
        <f t="shared" si="132"/>
        <v>1</v>
      </c>
      <c r="BT187" s="141">
        <f t="shared" si="132"/>
        <v>1</v>
      </c>
    </row>
    <row r="188" spans="1:72" hidden="1" outlineLevel="1" x14ac:dyDescent="0.2">
      <c r="A188" s="132"/>
      <c r="B188" s="142">
        <f t="array" ref="B188:B193">MMULT(C188:H193,$V$19:$V$24)</f>
        <v>-15.752926802514828</v>
      </c>
      <c r="C188" s="138">
        <f t="array" ref="C188:H193">MINVERSE(C181:H186)</f>
        <v>-0.78205085445934686</v>
      </c>
      <c r="D188" s="138">
        <v>-3.9372062723254289E-2</v>
      </c>
      <c r="E188" s="138">
        <v>-0.53006240270938942</v>
      </c>
      <c r="F188" s="138">
        <v>0</v>
      </c>
      <c r="G188" s="138">
        <v>-1.6454058023841249</v>
      </c>
      <c r="H188" s="138">
        <v>1</v>
      </c>
      <c r="I188" s="133"/>
      <c r="J188" s="142">
        <f t="array" ref="J188:J193">MMULT(K188:P193,$V$19:$V$24)</f>
        <v>-16.873996328504745</v>
      </c>
      <c r="K188" s="138">
        <f t="array" ref="K188:P193">MINVERSE(K181:P186)</f>
        <v>-1.0351627492636171</v>
      </c>
      <c r="L188" s="138">
        <v>0</v>
      </c>
      <c r="M188" s="138">
        <v>-0.53006240270938942</v>
      </c>
      <c r="N188" s="138">
        <v>0</v>
      </c>
      <c r="O188" s="138">
        <v>-1.5585240987651421</v>
      </c>
      <c r="P188" s="138">
        <v>1</v>
      </c>
      <c r="Q188" s="133"/>
      <c r="R188" s="142">
        <f t="array" ref="R188:R193">MMULT(S188:X193,$V$19:$V$24)</f>
        <v>-15.78433833401774</v>
      </c>
      <c r="S188" s="138">
        <f t="array" ref="S188:X193">MINVERSE(S181:X186)</f>
        <v>-0.82268463095917754</v>
      </c>
      <c r="T188" s="138">
        <v>-4.6956861209020428E-2</v>
      </c>
      <c r="U188" s="138">
        <v>-0.48089667545907466</v>
      </c>
      <c r="V188" s="138">
        <v>0</v>
      </c>
      <c r="W188" s="138">
        <v>-1.6253210975918357</v>
      </c>
      <c r="X188" s="138">
        <v>1</v>
      </c>
      <c r="Y188" s="133"/>
      <c r="Z188" s="142">
        <f t="array" ref="Z188:Z193">MMULT(AA188:AF193,$V$19:$V$24)</f>
        <v>-16.444043531326884</v>
      </c>
      <c r="AA188" s="138">
        <f t="array" ref="AA188:AF193">MINVERSE(AA181:AF186)</f>
        <v>-0.87979254367277293</v>
      </c>
      <c r="AB188" s="138">
        <v>0</v>
      </c>
      <c r="AC188" s="138">
        <v>-0.61551403040475805</v>
      </c>
      <c r="AD188" s="138">
        <v>0</v>
      </c>
      <c r="AE188" s="138">
        <v>-1.6225218567391924</v>
      </c>
      <c r="AF188" s="138">
        <v>1</v>
      </c>
      <c r="AG188" s="133"/>
      <c r="AH188" s="142">
        <f t="array" ref="AH188:AH193">MMULT(AI188:AN193,$V$19:$V$24)</f>
        <v>-15.903142454887046</v>
      </c>
      <c r="AI188" s="138">
        <f t="array" ref="AI188:AN193">MINVERSE(AI181:AN186)</f>
        <v>-0.96372402863021178</v>
      </c>
      <c r="AJ188" s="138">
        <v>0</v>
      </c>
      <c r="AK188" s="138">
        <v>8.8817841970012523E-16</v>
      </c>
      <c r="AL188" s="138">
        <v>0</v>
      </c>
      <c r="AM188" s="138">
        <v>-1.5879500619714486</v>
      </c>
      <c r="AN188" s="138">
        <v>1</v>
      </c>
      <c r="AO188" s="133"/>
      <c r="AP188" s="142">
        <f t="array" ref="AP188:AP193">MMULT(AQ188:AV193,$V$19:$V$24)</f>
        <v>-13.302271821513848</v>
      </c>
      <c r="AQ188" s="138">
        <f t="array" ref="AQ188:AV193">MINVERSE(AQ181:AV186)</f>
        <v>-0.39033462290132692</v>
      </c>
      <c r="AR188" s="138">
        <v>-0.28766564716359533</v>
      </c>
      <c r="AS188" s="138">
        <v>-0.81462444391443056</v>
      </c>
      <c r="AT188" s="138">
        <v>0</v>
      </c>
      <c r="AU188" s="138">
        <v>-1.697174560706217</v>
      </c>
      <c r="AV188" s="138">
        <v>1</v>
      </c>
      <c r="AW188" s="133"/>
      <c r="AX188" s="142">
        <f t="array" ref="AX188:AX193">MMULT(AY188:BD193,$V$19:$V$24)</f>
        <v>-12.628426944418095</v>
      </c>
      <c r="AY188" s="138">
        <f t="array" ref="AY188:BD193">MINVERSE(AY181:BD186)</f>
        <v>-0.50727523281838138</v>
      </c>
      <c r="AZ188" s="138">
        <v>-0.28402030175762416</v>
      </c>
      <c r="BA188" s="138">
        <v>0</v>
      </c>
      <c r="BB188" s="138">
        <v>0</v>
      </c>
      <c r="BC188" s="138">
        <v>-1.6506149688431373</v>
      </c>
      <c r="BD188" s="138">
        <v>1</v>
      </c>
      <c r="BE188" s="132"/>
      <c r="BF188" s="142">
        <f t="array" ref="BF188:BF193">MMULT(BG188:BL193,$V$19:$V$24)</f>
        <v>-14.829276162135528</v>
      </c>
      <c r="BG188" s="138">
        <f t="array" ref="BG188:BL193">MINVERSE(BG181:BL186)</f>
        <v>-0.71390534431973585</v>
      </c>
      <c r="BH188" s="138">
        <v>-3.3314822304292058E-2</v>
      </c>
      <c r="BI188" s="138">
        <v>1.7763568394002505E-15</v>
      </c>
      <c r="BJ188" s="138">
        <v>0</v>
      </c>
      <c r="BK188" s="138">
        <v>-1.6761485590493035</v>
      </c>
      <c r="BL188" s="138">
        <v>1</v>
      </c>
      <c r="BM188" s="133"/>
      <c r="BN188" s="142">
        <f t="array" ref="BN188:BN193">MMULT(BO188:BT193,$V$19:$V$24)</f>
        <v>-12.838241689461846</v>
      </c>
      <c r="BO188" s="138">
        <f t="array" ref="BO188:BT193">MINVERSE(BO181:BT186)</f>
        <v>-0.59310884324541913</v>
      </c>
      <c r="BP188" s="138">
        <v>-0.23061127065025899</v>
      </c>
      <c r="BQ188" s="138">
        <v>0.29896439403252728</v>
      </c>
      <c r="BR188" s="138">
        <v>0</v>
      </c>
      <c r="BS188" s="138">
        <v>-1.6388310507931299</v>
      </c>
      <c r="BT188" s="139">
        <v>1</v>
      </c>
    </row>
    <row r="189" spans="1:72" hidden="1" outlineLevel="1" x14ac:dyDescent="0.2">
      <c r="A189" s="132"/>
      <c r="B189" s="142">
        <v>18.021960553012065</v>
      </c>
      <c r="C189" s="138">
        <v>4.0689470883911421</v>
      </c>
      <c r="D189" s="138">
        <v>-0.63293287779155138</v>
      </c>
      <c r="E189" s="138">
        <v>0</v>
      </c>
      <c r="F189" s="138">
        <v>0</v>
      </c>
      <c r="G189" s="138">
        <v>-1.3966828988748079</v>
      </c>
      <c r="H189" s="138">
        <v>0</v>
      </c>
      <c r="I189" s="133"/>
      <c r="J189" s="142">
        <v>-28.473731078554252</v>
      </c>
      <c r="K189" s="138">
        <v>-6.4287181645368721</v>
      </c>
      <c r="L189" s="138">
        <v>1</v>
      </c>
      <c r="M189" s="138">
        <v>-3.9254298055278577E-16</v>
      </c>
      <c r="N189" s="138">
        <v>0</v>
      </c>
      <c r="O189" s="138">
        <v>2.2066840701152328</v>
      </c>
      <c r="P189" s="138">
        <v>0</v>
      </c>
      <c r="Q189" s="133"/>
      <c r="R189" s="142">
        <v>15.943416714124243</v>
      </c>
      <c r="S189" s="138">
        <v>1.3801547324175945</v>
      </c>
      <c r="T189" s="138">
        <v>-1.1348293281550277</v>
      </c>
      <c r="U189" s="138">
        <v>3.2533631622223917</v>
      </c>
      <c r="V189" s="138">
        <v>0</v>
      </c>
      <c r="W189" s="138">
        <v>-6.7650616637451297E-2</v>
      </c>
      <c r="X189" s="138">
        <v>0</v>
      </c>
      <c r="Y189" s="133"/>
      <c r="Z189" s="142">
        <v>-14.049175782269021</v>
      </c>
      <c r="AA189" s="138">
        <v>-1.2161782377103429</v>
      </c>
      <c r="AB189" s="138">
        <v>1</v>
      </c>
      <c r="AC189" s="138">
        <v>-2.86683035193637</v>
      </c>
      <c r="AD189" s="138">
        <v>0</v>
      </c>
      <c r="AE189" s="138">
        <v>5.9613031633078857E-2</v>
      </c>
      <c r="AF189" s="138">
        <v>0</v>
      </c>
      <c r="AG189" s="133"/>
      <c r="AH189" s="142">
        <v>-11.529864204086021</v>
      </c>
      <c r="AI189" s="138">
        <v>-1.6070991861749095</v>
      </c>
      <c r="AJ189" s="138">
        <v>1</v>
      </c>
      <c r="AK189" s="138">
        <v>1.7763568394002505E-15</v>
      </c>
      <c r="AL189" s="138">
        <v>0</v>
      </c>
      <c r="AM189" s="138">
        <v>0.22063530840540183</v>
      </c>
      <c r="AN189" s="138">
        <v>0</v>
      </c>
      <c r="AO189" s="133"/>
      <c r="AP189" s="142">
        <v>35.855053332318548</v>
      </c>
      <c r="AQ189" s="138">
        <v>6.2455750154351461</v>
      </c>
      <c r="AR189" s="138">
        <v>-3.4771938279979437</v>
      </c>
      <c r="AS189" s="138">
        <v>-4.8209130884133193</v>
      </c>
      <c r="AT189" s="138">
        <v>0</v>
      </c>
      <c r="AU189" s="138">
        <v>-1.0379696672507595</v>
      </c>
      <c r="AV189" s="138">
        <v>0</v>
      </c>
      <c r="AW189" s="133"/>
      <c r="AX189" s="142">
        <v>39.84283888407689</v>
      </c>
      <c r="AY189" s="138">
        <v>5.5535254199096462</v>
      </c>
      <c r="AZ189" s="138">
        <v>-3.4556208276899887</v>
      </c>
      <c r="BA189" s="138">
        <v>-4.8057935729100216E-15</v>
      </c>
      <c r="BB189" s="138">
        <v>0</v>
      </c>
      <c r="BC189" s="138">
        <v>-0.76243196704951044</v>
      </c>
      <c r="BD189" s="138">
        <v>0</v>
      </c>
      <c r="BE189" s="132"/>
      <c r="BF189" s="142">
        <v>-102.5544343422627</v>
      </c>
      <c r="BG189" s="138">
        <v>-7.8156614409528302</v>
      </c>
      <c r="BH189" s="138">
        <v>12.765288978244815</v>
      </c>
      <c r="BI189" s="138">
        <v>9.6115871458200432E-15</v>
      </c>
      <c r="BJ189" s="138">
        <v>0</v>
      </c>
      <c r="BK189" s="138">
        <v>-2.4144822718894616</v>
      </c>
      <c r="BL189" s="138">
        <v>0</v>
      </c>
      <c r="BM189" s="133"/>
      <c r="BN189" s="142">
        <v>26.267602863185239</v>
      </c>
      <c r="BO189" s="138">
        <v>-6.007241966137527E-16</v>
      </c>
      <c r="BP189" s="138">
        <v>0</v>
      </c>
      <c r="BQ189" s="138">
        <v>19.343312644629663</v>
      </c>
      <c r="BR189" s="138">
        <v>0</v>
      </c>
      <c r="BS189" s="138">
        <v>1.5018104915343817E-16</v>
      </c>
      <c r="BT189" s="139">
        <v>0</v>
      </c>
    </row>
    <row r="190" spans="1:72" hidden="1" outlineLevel="1" x14ac:dyDescent="0.2">
      <c r="A190" s="132"/>
      <c r="B190" s="142">
        <v>-14.818139879891683</v>
      </c>
      <c r="C190" s="138">
        <v>-1.0223524718523058</v>
      </c>
      <c r="D190" s="138">
        <v>1.9083477216194746</v>
      </c>
      <c r="E190" s="138">
        <v>0</v>
      </c>
      <c r="F190" s="138">
        <v>0</v>
      </c>
      <c r="G190" s="138">
        <v>-0.42111205175383937</v>
      </c>
      <c r="H190" s="138">
        <v>0</v>
      </c>
      <c r="I190" s="133"/>
      <c r="J190" s="142">
        <v>39.519639949872939</v>
      </c>
      <c r="K190" s="138">
        <v>11.245877190375364</v>
      </c>
      <c r="L190" s="138">
        <v>0</v>
      </c>
      <c r="M190" s="138">
        <v>6.8668279402765748E-16</v>
      </c>
      <c r="N190" s="138">
        <v>0</v>
      </c>
      <c r="O190" s="138">
        <v>-4.6322325692922321</v>
      </c>
      <c r="P190" s="138">
        <v>0</v>
      </c>
      <c r="Q190" s="133"/>
      <c r="R190" s="142">
        <v>-16.210676806550939</v>
      </c>
      <c r="S190" s="138">
        <v>-2.823730231493748</v>
      </c>
      <c r="T190" s="138">
        <v>1.5720982149146714</v>
      </c>
      <c r="U190" s="138">
        <v>2.179616448047438</v>
      </c>
      <c r="V190" s="138">
        <v>0</v>
      </c>
      <c r="W190" s="138">
        <v>0.46928366428167356</v>
      </c>
      <c r="X190" s="138">
        <v>0</v>
      </c>
      <c r="Y190" s="133"/>
      <c r="Z190" s="142">
        <v>5.8760073617766135</v>
      </c>
      <c r="AA190" s="138">
        <v>-0.91177859497124714</v>
      </c>
      <c r="AB190" s="138">
        <v>0</v>
      </c>
      <c r="AC190" s="138">
        <v>6.6865553267898044</v>
      </c>
      <c r="AD190" s="138">
        <v>0</v>
      </c>
      <c r="AE190" s="138">
        <v>0.37556612366565845</v>
      </c>
      <c r="AF190" s="138">
        <v>0</v>
      </c>
      <c r="AG190" s="133"/>
      <c r="AH190" s="142">
        <v>-23.012366832826778</v>
      </c>
      <c r="AI190" s="138">
        <v>3.5708232148051215</v>
      </c>
      <c r="AJ190" s="138">
        <v>0</v>
      </c>
      <c r="AK190" s="138">
        <v>-26.186737788830001</v>
      </c>
      <c r="AL190" s="138">
        <v>0</v>
      </c>
      <c r="AM190" s="138">
        <v>-1.4708397855314812</v>
      </c>
      <c r="AN190" s="138">
        <v>0</v>
      </c>
      <c r="AO190" s="133"/>
      <c r="AP190" s="142">
        <v>4.0175253847645855</v>
      </c>
      <c r="AQ190" s="138">
        <v>-0.69721071543423885</v>
      </c>
      <c r="AR190" s="138">
        <v>2.1733885946933231E-2</v>
      </c>
      <c r="AS190" s="138">
        <v>4.8568661627013228</v>
      </c>
      <c r="AT190" s="138">
        <v>0</v>
      </c>
      <c r="AU190" s="138">
        <v>0.27759258632402345</v>
      </c>
      <c r="AV190" s="138">
        <v>0</v>
      </c>
      <c r="AW190" s="133"/>
      <c r="AX190" s="142">
        <v>-21.661268868954053</v>
      </c>
      <c r="AY190" s="138">
        <v>3.759147066651785</v>
      </c>
      <c r="AZ190" s="138">
        <v>-0.11718246979820653</v>
      </c>
      <c r="BA190" s="138">
        <v>-26.186737788829998</v>
      </c>
      <c r="BB190" s="138">
        <v>0</v>
      </c>
      <c r="BC190" s="138">
        <v>-1.4966943758951154</v>
      </c>
      <c r="BD190" s="138">
        <v>0</v>
      </c>
      <c r="BE190" s="132"/>
      <c r="BF190" s="142">
        <v>307.48336718665678</v>
      </c>
      <c r="BG190" s="138">
        <v>18.655083779046635</v>
      </c>
      <c r="BH190" s="138">
        <v>-30.469274693130192</v>
      </c>
      <c r="BI190" s="138">
        <v>46.17025963523129</v>
      </c>
      <c r="BJ190" s="138">
        <v>0</v>
      </c>
      <c r="BK190" s="138">
        <v>5.7630911222824794</v>
      </c>
      <c r="BL190" s="138">
        <v>0</v>
      </c>
      <c r="BM190" s="133"/>
      <c r="BN190" s="142">
        <v>-36.222171798541687</v>
      </c>
      <c r="BO190" s="138">
        <v>-2.1976071608147092</v>
      </c>
      <c r="BP190" s="138">
        <v>3.5893431004401131</v>
      </c>
      <c r="BQ190" s="138">
        <v>-5.4389513546448356</v>
      </c>
      <c r="BR190" s="138">
        <v>0</v>
      </c>
      <c r="BS190" s="138">
        <v>-0.67890396359307592</v>
      </c>
      <c r="BT190" s="139">
        <v>0</v>
      </c>
    </row>
    <row r="191" spans="1:72" hidden="1" outlineLevel="1" x14ac:dyDescent="0.2">
      <c r="A191" s="132"/>
      <c r="B191" s="142">
        <v>-0.97754281390862019</v>
      </c>
      <c r="C191" s="138">
        <v>-1.2645437620794893</v>
      </c>
      <c r="D191" s="138">
        <v>-0.23604278110466914</v>
      </c>
      <c r="E191" s="138">
        <v>1.5300624027093894</v>
      </c>
      <c r="F191" s="138">
        <v>0</v>
      </c>
      <c r="G191" s="138">
        <v>0.6250462139152444</v>
      </c>
      <c r="H191" s="138">
        <v>0</v>
      </c>
      <c r="I191" s="133"/>
      <c r="J191" s="142">
        <v>-7.6985614861170184</v>
      </c>
      <c r="K191" s="138">
        <v>-2.7819962765748767</v>
      </c>
      <c r="L191" s="138">
        <v>0</v>
      </c>
      <c r="M191" s="138">
        <v>1.5300624027093892</v>
      </c>
      <c r="N191" s="138">
        <v>0</v>
      </c>
      <c r="O191" s="138">
        <v>1.1459180588446145</v>
      </c>
      <c r="P191" s="138">
        <v>0</v>
      </c>
      <c r="Q191" s="133"/>
      <c r="R191" s="142">
        <v>2.5249494831413912</v>
      </c>
      <c r="S191" s="138">
        <v>3.2662601300353318</v>
      </c>
      <c r="T191" s="138">
        <v>0.6096879744493765</v>
      </c>
      <c r="U191" s="138">
        <v>-3.9520829348107558</v>
      </c>
      <c r="V191" s="138">
        <v>0</v>
      </c>
      <c r="W191" s="138">
        <v>-1.6144664891499145</v>
      </c>
      <c r="X191" s="138">
        <v>0</v>
      </c>
      <c r="Y191" s="133"/>
      <c r="Z191" s="142">
        <v>11.090563008516227</v>
      </c>
      <c r="AA191" s="138">
        <v>4.0077493763543632</v>
      </c>
      <c r="AB191" s="138">
        <v>0</v>
      </c>
      <c r="AC191" s="138">
        <v>-2.2042109444486777</v>
      </c>
      <c r="AD191" s="138">
        <v>0</v>
      </c>
      <c r="AE191" s="138">
        <v>-1.6508118376570728</v>
      </c>
      <c r="AF191" s="138">
        <v>0</v>
      </c>
      <c r="AG191" s="133"/>
      <c r="AH191" s="142">
        <v>36.918724548496783</v>
      </c>
      <c r="AI191" s="138">
        <v>0</v>
      </c>
      <c r="AJ191" s="138">
        <v>0</v>
      </c>
      <c r="AK191" s="138">
        <v>27.186737788829998</v>
      </c>
      <c r="AL191" s="138">
        <v>0</v>
      </c>
      <c r="AM191" s="138">
        <v>0</v>
      </c>
      <c r="AN191" s="138">
        <v>0</v>
      </c>
      <c r="AO191" s="133"/>
      <c r="AP191" s="142">
        <v>-40.096955838872361</v>
      </c>
      <c r="AQ191" s="138">
        <v>-4.1580296770995817</v>
      </c>
      <c r="AR191" s="138">
        <v>4.7431255892146069</v>
      </c>
      <c r="AS191" s="138">
        <v>1.7786713696264278</v>
      </c>
      <c r="AT191" s="138">
        <v>0</v>
      </c>
      <c r="AU191" s="138">
        <v>-0.3806028974645746</v>
      </c>
      <c r="AV191" s="138">
        <v>0</v>
      </c>
      <c r="AW191" s="133"/>
      <c r="AX191" s="142">
        <v>-19.079792014007818</v>
      </c>
      <c r="AY191" s="138">
        <v>-7.8053972537430507</v>
      </c>
      <c r="AZ191" s="138">
        <v>4.8568235992458204</v>
      </c>
      <c r="BA191" s="138">
        <v>27.186737788830001</v>
      </c>
      <c r="BB191" s="138">
        <v>0</v>
      </c>
      <c r="BC191" s="138">
        <v>1.0715867726902353</v>
      </c>
      <c r="BD191" s="138">
        <v>0</v>
      </c>
      <c r="BE191" s="132"/>
      <c r="BF191" s="142">
        <v>-203.62630562556154</v>
      </c>
      <c r="BG191" s="138">
        <v>-9.1255169937740668</v>
      </c>
      <c r="BH191" s="138">
        <v>18.737300537189668</v>
      </c>
      <c r="BI191" s="138">
        <v>-45.170259635231297</v>
      </c>
      <c r="BJ191" s="138">
        <v>0</v>
      </c>
      <c r="BK191" s="138">
        <v>-4.5106148304412415</v>
      </c>
      <c r="BL191" s="138">
        <v>0</v>
      </c>
      <c r="BM191" s="133"/>
      <c r="BN191" s="142">
        <v>9.2661616815152232</v>
      </c>
      <c r="BO191" s="138">
        <v>3.790716004060128</v>
      </c>
      <c r="BP191" s="138">
        <v>-2.3587318297898534</v>
      </c>
      <c r="BQ191" s="138">
        <v>-13.203325684017354</v>
      </c>
      <c r="BR191" s="138">
        <v>0</v>
      </c>
      <c r="BS191" s="138">
        <v>-0.52041952471132213</v>
      </c>
      <c r="BT191" s="139">
        <v>0</v>
      </c>
    </row>
    <row r="192" spans="1:72" hidden="1" outlineLevel="1" x14ac:dyDescent="0.2">
      <c r="A192" s="132"/>
      <c r="B192" s="142">
        <v>123.7131352800365</v>
      </c>
      <c r="C192" s="138">
        <v>0</v>
      </c>
      <c r="D192" s="138">
        <v>0</v>
      </c>
      <c r="E192" s="138">
        <v>0</v>
      </c>
      <c r="F192" s="138">
        <v>0</v>
      </c>
      <c r="G192" s="138">
        <v>4.5733243916627977</v>
      </c>
      <c r="H192" s="138">
        <v>0</v>
      </c>
      <c r="I192" s="133"/>
      <c r="J192" s="142">
        <v>123.7131352800365</v>
      </c>
      <c r="K192" s="138">
        <v>0</v>
      </c>
      <c r="L192" s="138">
        <v>0</v>
      </c>
      <c r="M192" s="138">
        <v>0</v>
      </c>
      <c r="N192" s="138">
        <v>0</v>
      </c>
      <c r="O192" s="138">
        <v>4.5733243916627977</v>
      </c>
      <c r="P192" s="138">
        <v>0</v>
      </c>
      <c r="Q192" s="133"/>
      <c r="R192" s="142">
        <v>123.7131352800365</v>
      </c>
      <c r="S192" s="138">
        <v>0</v>
      </c>
      <c r="T192" s="138">
        <v>0</v>
      </c>
      <c r="U192" s="138">
        <v>0</v>
      </c>
      <c r="V192" s="138">
        <v>0</v>
      </c>
      <c r="W192" s="138">
        <v>4.5733243916627977</v>
      </c>
      <c r="X192" s="138">
        <v>0</v>
      </c>
      <c r="Y192" s="133"/>
      <c r="Z192" s="142">
        <v>123.7131352800365</v>
      </c>
      <c r="AA192" s="138">
        <v>0</v>
      </c>
      <c r="AB192" s="138">
        <v>0</v>
      </c>
      <c r="AC192" s="138">
        <v>0</v>
      </c>
      <c r="AD192" s="138">
        <v>0</v>
      </c>
      <c r="AE192" s="138">
        <v>4.5733243916627977</v>
      </c>
      <c r="AF192" s="138">
        <v>0</v>
      </c>
      <c r="AG192" s="133"/>
      <c r="AH192" s="142">
        <v>123.7131352800365</v>
      </c>
      <c r="AI192" s="138">
        <v>0</v>
      </c>
      <c r="AJ192" s="138">
        <v>0</v>
      </c>
      <c r="AK192" s="138">
        <v>0</v>
      </c>
      <c r="AL192" s="138">
        <v>0</v>
      </c>
      <c r="AM192" s="138">
        <v>4.5733243916627977</v>
      </c>
      <c r="AN192" s="138">
        <v>0</v>
      </c>
      <c r="AO192" s="133"/>
      <c r="AP192" s="142">
        <v>123.7131352800365</v>
      </c>
      <c r="AQ192" s="138">
        <v>0</v>
      </c>
      <c r="AR192" s="138">
        <v>0</v>
      </c>
      <c r="AS192" s="138">
        <v>0</v>
      </c>
      <c r="AT192" s="138">
        <v>0</v>
      </c>
      <c r="AU192" s="138">
        <v>4.5733243916627977</v>
      </c>
      <c r="AV192" s="138">
        <v>0</v>
      </c>
      <c r="AW192" s="133"/>
      <c r="AX192" s="142">
        <v>123.7131352800365</v>
      </c>
      <c r="AY192" s="138">
        <v>0</v>
      </c>
      <c r="AZ192" s="138">
        <v>0</v>
      </c>
      <c r="BA192" s="138">
        <v>0</v>
      </c>
      <c r="BB192" s="138">
        <v>0</v>
      </c>
      <c r="BC192" s="138">
        <v>4.5733243916627977</v>
      </c>
      <c r="BD192" s="138">
        <v>0</v>
      </c>
      <c r="BE192" s="132"/>
      <c r="BF192" s="142">
        <v>123.7131352800365</v>
      </c>
      <c r="BG192" s="138">
        <v>0</v>
      </c>
      <c r="BH192" s="138">
        <v>0</v>
      </c>
      <c r="BI192" s="138">
        <v>0</v>
      </c>
      <c r="BJ192" s="138">
        <v>0</v>
      </c>
      <c r="BK192" s="138">
        <v>4.5733243916627977</v>
      </c>
      <c r="BL192" s="138">
        <v>0</v>
      </c>
      <c r="BM192" s="133"/>
      <c r="BN192" s="142">
        <v>123.7131352800365</v>
      </c>
      <c r="BO192" s="138">
        <v>0</v>
      </c>
      <c r="BP192" s="138">
        <v>0</v>
      </c>
      <c r="BQ192" s="138">
        <v>0</v>
      </c>
      <c r="BR192" s="138">
        <v>0</v>
      </c>
      <c r="BS192" s="138">
        <v>4.5733243916627977</v>
      </c>
      <c r="BT192" s="139">
        <v>0</v>
      </c>
    </row>
    <row r="193" spans="1:72" hidden="1" outlineLevel="1" x14ac:dyDescent="0.2">
      <c r="A193" s="132"/>
      <c r="B193" s="142">
        <v>-11.768315224621812</v>
      </c>
      <c r="C193" s="138">
        <v>0</v>
      </c>
      <c r="D193" s="138">
        <v>0</v>
      </c>
      <c r="E193" s="138">
        <v>0</v>
      </c>
      <c r="F193" s="138">
        <v>1</v>
      </c>
      <c r="G193" s="138">
        <v>-0.73516985256527023</v>
      </c>
      <c r="H193" s="138">
        <v>0</v>
      </c>
      <c r="I193" s="133"/>
      <c r="J193" s="142">
        <v>-11.768315224621812</v>
      </c>
      <c r="K193" s="138">
        <v>0</v>
      </c>
      <c r="L193" s="138">
        <v>0</v>
      </c>
      <c r="M193" s="138">
        <v>0</v>
      </c>
      <c r="N193" s="138">
        <v>1</v>
      </c>
      <c r="O193" s="138">
        <v>-0.73516985256527023</v>
      </c>
      <c r="P193" s="138">
        <v>0</v>
      </c>
      <c r="Q193" s="133"/>
      <c r="R193" s="142">
        <v>-11.768315224621812</v>
      </c>
      <c r="S193" s="138">
        <v>0</v>
      </c>
      <c r="T193" s="138">
        <v>0</v>
      </c>
      <c r="U193" s="138">
        <v>0</v>
      </c>
      <c r="V193" s="138">
        <v>1</v>
      </c>
      <c r="W193" s="138">
        <v>-0.73516985256527023</v>
      </c>
      <c r="X193" s="138">
        <v>0</v>
      </c>
      <c r="Y193" s="133"/>
      <c r="Z193" s="142">
        <v>-11.768315224621812</v>
      </c>
      <c r="AA193" s="138">
        <v>0</v>
      </c>
      <c r="AB193" s="138">
        <v>0</v>
      </c>
      <c r="AC193" s="138">
        <v>0</v>
      </c>
      <c r="AD193" s="138">
        <v>1</v>
      </c>
      <c r="AE193" s="138">
        <v>-0.73516985256527023</v>
      </c>
      <c r="AF193" s="138">
        <v>0</v>
      </c>
      <c r="AG193" s="133"/>
      <c r="AH193" s="142">
        <v>-11.768315224621812</v>
      </c>
      <c r="AI193" s="138">
        <v>0</v>
      </c>
      <c r="AJ193" s="138">
        <v>0</v>
      </c>
      <c r="AK193" s="138">
        <v>0</v>
      </c>
      <c r="AL193" s="138">
        <v>1</v>
      </c>
      <c r="AM193" s="138">
        <v>-0.73516985256527023</v>
      </c>
      <c r="AN193" s="138">
        <v>0</v>
      </c>
      <c r="AO193" s="133"/>
      <c r="AP193" s="142">
        <v>-11.768315224621812</v>
      </c>
      <c r="AQ193" s="138">
        <v>0</v>
      </c>
      <c r="AR193" s="138">
        <v>0</v>
      </c>
      <c r="AS193" s="138">
        <v>0</v>
      </c>
      <c r="AT193" s="138">
        <v>1</v>
      </c>
      <c r="AU193" s="138">
        <v>-0.73516985256527023</v>
      </c>
      <c r="AV193" s="138">
        <v>0</v>
      </c>
      <c r="AW193" s="133"/>
      <c r="AX193" s="142">
        <v>-11.768315224621812</v>
      </c>
      <c r="AY193" s="138">
        <v>0</v>
      </c>
      <c r="AZ193" s="138">
        <v>0</v>
      </c>
      <c r="BA193" s="138">
        <v>0</v>
      </c>
      <c r="BB193" s="138">
        <v>1</v>
      </c>
      <c r="BC193" s="138">
        <v>-0.73516985256527023</v>
      </c>
      <c r="BD193" s="138">
        <v>0</v>
      </c>
      <c r="BE193" s="132"/>
      <c r="BF193" s="142">
        <v>-11.768315224621812</v>
      </c>
      <c r="BG193" s="138">
        <v>0</v>
      </c>
      <c r="BH193" s="138">
        <v>0</v>
      </c>
      <c r="BI193" s="138">
        <v>0</v>
      </c>
      <c r="BJ193" s="138">
        <v>1</v>
      </c>
      <c r="BK193" s="138">
        <v>-0.73516985256527023</v>
      </c>
      <c r="BL193" s="138">
        <v>0</v>
      </c>
      <c r="BM193" s="133"/>
      <c r="BN193" s="142">
        <v>-11.768315224621812</v>
      </c>
      <c r="BO193" s="138">
        <v>0</v>
      </c>
      <c r="BP193" s="138">
        <v>0</v>
      </c>
      <c r="BQ193" s="138">
        <v>0</v>
      </c>
      <c r="BR193" s="138">
        <v>1</v>
      </c>
      <c r="BS193" s="138">
        <v>-0.73516985256527023</v>
      </c>
      <c r="BT193" s="139">
        <v>0</v>
      </c>
    </row>
    <row r="194" spans="1:72" ht="13.5" hidden="1" outlineLevel="1" thickBot="1" x14ac:dyDescent="0.25">
      <c r="A194" s="144"/>
      <c r="B194" s="145">
        <f>SUM(B188:B193)</f>
        <v>98.418171112111608</v>
      </c>
      <c r="C194" s="146"/>
      <c r="D194" s="146"/>
      <c r="E194" s="146"/>
      <c r="F194" s="146"/>
      <c r="G194" s="146"/>
      <c r="H194" s="146"/>
      <c r="I194" s="146"/>
      <c r="J194" s="145">
        <f>SUM(J188:J193)</f>
        <v>98.418171112111608</v>
      </c>
      <c r="K194" s="146"/>
      <c r="L194" s="146"/>
      <c r="M194" s="146"/>
      <c r="N194" s="146"/>
      <c r="O194" s="146"/>
      <c r="P194" s="146"/>
      <c r="Q194" s="146"/>
      <c r="R194" s="145">
        <f>SUM(R188:R193)</f>
        <v>98.418171112111636</v>
      </c>
      <c r="S194" s="146"/>
      <c r="T194" s="146"/>
      <c r="U194" s="146"/>
      <c r="V194" s="146"/>
      <c r="W194" s="146"/>
      <c r="X194" s="146"/>
      <c r="Y194" s="146"/>
      <c r="Z194" s="145">
        <f>SUM(Z188:Z193)</f>
        <v>98.418171112111608</v>
      </c>
      <c r="AA194" s="146"/>
      <c r="AB194" s="146"/>
      <c r="AC194" s="146"/>
      <c r="AD194" s="146"/>
      <c r="AE194" s="146"/>
      <c r="AF194" s="146"/>
      <c r="AG194" s="146"/>
      <c r="AH194" s="145">
        <f>SUM(AH188:AH193)</f>
        <v>98.418171112111622</v>
      </c>
      <c r="AI194" s="146"/>
      <c r="AJ194" s="146"/>
      <c r="AK194" s="146"/>
      <c r="AL194" s="146"/>
      <c r="AM194" s="146"/>
      <c r="AN194" s="146"/>
      <c r="AO194" s="146"/>
      <c r="AP194" s="145">
        <f>SUM(AP188:AP193)</f>
        <v>98.418171112111608</v>
      </c>
      <c r="AQ194" s="146"/>
      <c r="AR194" s="146"/>
      <c r="AS194" s="146"/>
      <c r="AT194" s="146"/>
      <c r="AU194" s="146"/>
      <c r="AV194" s="146"/>
      <c r="AW194" s="146"/>
      <c r="AX194" s="145">
        <f>SUM(AX188:AX193)</f>
        <v>98.418171112111608</v>
      </c>
      <c r="AY194" s="146"/>
      <c r="AZ194" s="146"/>
      <c r="BA194" s="146"/>
      <c r="BB194" s="146"/>
      <c r="BC194" s="146"/>
      <c r="BD194" s="146"/>
      <c r="BE194" s="144"/>
      <c r="BF194" s="145">
        <f>SUM(BF188:BF193)</f>
        <v>98.418171112111708</v>
      </c>
      <c r="BG194" s="146"/>
      <c r="BH194" s="146"/>
      <c r="BI194" s="146"/>
      <c r="BJ194" s="146"/>
      <c r="BK194" s="146"/>
      <c r="BL194" s="146"/>
      <c r="BM194" s="146"/>
      <c r="BN194" s="145">
        <f>SUM(BN188:BN193)</f>
        <v>98.418171112111608</v>
      </c>
      <c r="BO194" s="146"/>
      <c r="BP194" s="146"/>
      <c r="BQ194" s="146"/>
      <c r="BR194" s="146"/>
      <c r="BS194" s="146"/>
      <c r="BT194" s="147"/>
    </row>
    <row r="195" spans="1:72" hidden="1" outlineLevel="1" x14ac:dyDescent="0.2"/>
    <row r="196" spans="1:72" hidden="1" outlineLevel="1" x14ac:dyDescent="0.2"/>
    <row r="197" spans="1:72" hidden="1" outlineLevel="1" x14ac:dyDescent="0.2">
      <c r="A197" s="135" t="s">
        <v>64</v>
      </c>
      <c r="B197" s="136">
        <v>25</v>
      </c>
      <c r="C197" s="136" t="s">
        <v>59</v>
      </c>
      <c r="D197" s="136" t="str">
        <f>$I$218</f>
        <v>strätlingite</v>
      </c>
      <c r="E197" s="136" t="str">
        <f>$J$218</f>
        <v>Ca-stilbite</v>
      </c>
      <c r="F197" s="136" t="str">
        <f>$L$218</f>
        <v>AH3</v>
      </c>
      <c r="G197" s="136" t="str">
        <f>$S$218</f>
        <v>ettringite</v>
      </c>
      <c r="H197" s="136" t="str">
        <f>$V$218</f>
        <v>thaumasite</v>
      </c>
      <c r="I197" s="133" t="s">
        <v>65</v>
      </c>
      <c r="J197" s="136">
        <v>25</v>
      </c>
      <c r="K197" s="136" t="s">
        <v>59</v>
      </c>
      <c r="L197" s="136" t="str">
        <f>$K218</f>
        <v>SiO2</v>
      </c>
      <c r="M197" s="136" t="str">
        <f>$J$218</f>
        <v>Ca-stilbite</v>
      </c>
      <c r="N197" s="136" t="str">
        <f>$G$218</f>
        <v>C0.67A0.05SH1.8</v>
      </c>
      <c r="O197" s="136" t="str">
        <f>$S$218</f>
        <v>ettringite</v>
      </c>
      <c r="P197" s="136" t="str">
        <f>$V$218</f>
        <v>thaumasite</v>
      </c>
      <c r="Q197" s="133" t="s">
        <v>66</v>
      </c>
      <c r="R197" s="136">
        <v>25</v>
      </c>
      <c r="S197" s="136" t="s">
        <v>59</v>
      </c>
      <c r="T197" s="136" t="str">
        <f>$I$218</f>
        <v>strätlingite</v>
      </c>
      <c r="U197" s="136" t="str">
        <f>$J$218</f>
        <v>Ca-stilbite</v>
      </c>
      <c r="V197" s="136" t="str">
        <f>$G$218</f>
        <v>C0.67A0.05SH1.8</v>
      </c>
      <c r="W197" s="136" t="str">
        <f>$T$218</f>
        <v>gypsum</v>
      </c>
      <c r="X197" s="136" t="str">
        <f>$V$218</f>
        <v>thaumasite</v>
      </c>
      <c r="Y197" s="133" t="s">
        <v>67</v>
      </c>
      <c r="Z197" s="136">
        <v>25</v>
      </c>
      <c r="AA197" s="136" t="s">
        <v>59</v>
      </c>
      <c r="AB197" s="136" t="str">
        <f>$K$218</f>
        <v>SiO2</v>
      </c>
      <c r="AC197" s="136" t="str">
        <f>$J$218</f>
        <v>Ca-stilbite</v>
      </c>
      <c r="AD197" s="136" t="str">
        <f>$G$218</f>
        <v>C0.67A0.05SH1.8</v>
      </c>
      <c r="AE197" s="136" t="str">
        <f>$T$218</f>
        <v>gypsum</v>
      </c>
      <c r="AF197" s="136" t="str">
        <f>$V$218</f>
        <v>thaumasite</v>
      </c>
      <c r="AG197" s="133" t="s">
        <v>68</v>
      </c>
      <c r="AH197" s="136">
        <v>25</v>
      </c>
      <c r="AI197" s="136" t="s">
        <v>59</v>
      </c>
      <c r="AJ197" s="136" t="str">
        <f>$K$218</f>
        <v>SiO2</v>
      </c>
      <c r="AK197" s="136" t="str">
        <f>$H$218</f>
        <v>C0.67SH1.8</v>
      </c>
      <c r="AL197" s="136" t="str">
        <f>$G$218</f>
        <v>C0.67A0.05SH1.8</v>
      </c>
      <c r="AM197" s="136" t="str">
        <f>$S$218</f>
        <v>ettringite</v>
      </c>
      <c r="AN197" s="136" t="str">
        <f>$V$218</f>
        <v>thaumasite</v>
      </c>
      <c r="AO197" s="133" t="s">
        <v>69</v>
      </c>
      <c r="AP197" s="136">
        <v>25</v>
      </c>
      <c r="AQ197" s="136" t="s">
        <v>59</v>
      </c>
      <c r="AR197" s="136" t="str">
        <f>$F$218</f>
        <v>C1.3A0.1SH3</v>
      </c>
      <c r="AS197" s="136" t="str">
        <f>$I$218</f>
        <v>strätlingite</v>
      </c>
      <c r="AT197" s="136" t="str">
        <f>$G$218</f>
        <v>C0.67A0.05SH1.8</v>
      </c>
      <c r="AU197" s="136" t="str">
        <f>$S$218</f>
        <v>ettringite</v>
      </c>
      <c r="AV197" s="136" t="str">
        <f>$V$218</f>
        <v>thaumasite</v>
      </c>
      <c r="AW197" s="138" t="s">
        <v>70</v>
      </c>
      <c r="AX197" s="136">
        <v>25</v>
      </c>
      <c r="AY197" s="136" t="s">
        <v>59</v>
      </c>
      <c r="AZ197" s="136" t="str">
        <f>$F$218</f>
        <v>C1.3A0.1SH3</v>
      </c>
      <c r="BA197" s="136" t="str">
        <f>$H$218</f>
        <v>C0.67SH1.8</v>
      </c>
      <c r="BB197" s="136" t="str">
        <f>$G$218</f>
        <v>C0.67A0.05SH1.8</v>
      </c>
      <c r="BC197" s="136" t="str">
        <f>$S$218</f>
        <v>ettringite</v>
      </c>
      <c r="BD197" s="136" t="str">
        <f>$V$218</f>
        <v>thaumasite</v>
      </c>
      <c r="BE197" s="138" t="s">
        <v>71</v>
      </c>
      <c r="BF197" s="136">
        <v>25</v>
      </c>
      <c r="BG197" s="136" t="s">
        <v>59</v>
      </c>
      <c r="BH197" s="136" t="str">
        <f>$F$218</f>
        <v>C1.3A0.1SH3</v>
      </c>
      <c r="BI197" s="136" t="str">
        <f>$E$218</f>
        <v>C1.75A0.05SH4.3</v>
      </c>
      <c r="BJ197" s="136" t="str">
        <f>$D$218</f>
        <v>C1.75SH4.4</v>
      </c>
      <c r="BK197" s="136" t="str">
        <f>$S$218</f>
        <v>ettringite</v>
      </c>
      <c r="BL197" s="136" t="str">
        <f>$V$218</f>
        <v>thaumasite</v>
      </c>
      <c r="BM197" s="138" t="s">
        <v>72</v>
      </c>
      <c r="BN197" s="136">
        <v>25</v>
      </c>
      <c r="BO197" s="136" t="s">
        <v>59</v>
      </c>
      <c r="BP197" s="136" t="str">
        <f>$F$218</f>
        <v>C1.3A0.1SH3</v>
      </c>
      <c r="BQ197" s="136" t="str">
        <f>$H$218</f>
        <v>C0.67SH1.8</v>
      </c>
      <c r="BR197" s="136" t="str">
        <f>$D$218</f>
        <v>C1.75SH4.4</v>
      </c>
      <c r="BS197" s="136" t="str">
        <f>$S$218</f>
        <v>ettringite</v>
      </c>
      <c r="BT197" s="136" t="str">
        <f>$V$218</f>
        <v>thaumasite</v>
      </c>
    </row>
    <row r="198" spans="1:72" hidden="1" outlineLevel="1" x14ac:dyDescent="0.2">
      <c r="A198" s="132"/>
      <c r="B198" s="133"/>
      <c r="C198" s="138">
        <v>0</v>
      </c>
      <c r="D198" s="138">
        <f>$I$219</f>
        <v>0.26810599086468712</v>
      </c>
      <c r="E198" s="138">
        <f>$J$219</f>
        <v>8.8921476117117551E-2</v>
      </c>
      <c r="F198" s="138">
        <f>$L$219</f>
        <v>0</v>
      </c>
      <c r="G198" s="138">
        <f>$S$219</f>
        <v>0.13403810838353239</v>
      </c>
      <c r="H198" s="138">
        <f>$V$219</f>
        <v>9.0066857826695823E-2</v>
      </c>
      <c r="I198" s="133"/>
      <c r="J198" s="133"/>
      <c r="K198" s="138">
        <v>0</v>
      </c>
      <c r="L198" s="136">
        <f t="shared" ref="L198:L203" si="133">$K219</f>
        <v>0</v>
      </c>
      <c r="M198" s="138">
        <f>$J$219</f>
        <v>8.8921476117117551E-2</v>
      </c>
      <c r="N198" s="138">
        <f>$G$219</f>
        <v>0.26974658269181312</v>
      </c>
      <c r="O198" s="138">
        <f>$S$219</f>
        <v>0.13403810838353239</v>
      </c>
      <c r="P198" s="138">
        <f>$V$219</f>
        <v>9.0066857826695823E-2</v>
      </c>
      <c r="Q198" s="133"/>
      <c r="R198" s="133"/>
      <c r="S198" s="138">
        <v>0</v>
      </c>
      <c r="T198" s="138">
        <f>$I$219</f>
        <v>0.26810599086468712</v>
      </c>
      <c r="U198" s="138">
        <f>$J$219</f>
        <v>8.8921476117117551E-2</v>
      </c>
      <c r="V198" s="138">
        <f>$G$219</f>
        <v>0.26974658269181312</v>
      </c>
      <c r="W198" s="138">
        <f>$T$219</f>
        <v>0</v>
      </c>
      <c r="X198" s="138">
        <f>$V$219</f>
        <v>9.0066857826695823E-2</v>
      </c>
      <c r="Y198" s="133"/>
      <c r="Z198" s="133"/>
      <c r="AA198" s="138">
        <v>0</v>
      </c>
      <c r="AB198" s="138">
        <f>$K$219</f>
        <v>0</v>
      </c>
      <c r="AC198" s="138">
        <f>$J$219</f>
        <v>8.8921476117117551E-2</v>
      </c>
      <c r="AD198" s="138">
        <f>$G$219</f>
        <v>0.26974658269181312</v>
      </c>
      <c r="AE198" s="138">
        <f>$T$219</f>
        <v>0</v>
      </c>
      <c r="AF198" s="138">
        <f>$V$219</f>
        <v>9.0066857826695823E-2</v>
      </c>
      <c r="AG198" s="133"/>
      <c r="AH198" s="133"/>
      <c r="AI198" s="138">
        <v>0</v>
      </c>
      <c r="AJ198" s="138">
        <f>$K$219</f>
        <v>0</v>
      </c>
      <c r="AK198" s="138">
        <f>$H$219</f>
        <v>0.28004746800509844</v>
      </c>
      <c r="AL198" s="138">
        <f>$G$219</f>
        <v>0.26974658269181312</v>
      </c>
      <c r="AM198" s="138">
        <f>$S$219</f>
        <v>0.13403810838353239</v>
      </c>
      <c r="AN198" s="138">
        <f>$V$219</f>
        <v>9.0066857826695823E-2</v>
      </c>
      <c r="AP198" s="133"/>
      <c r="AQ198" s="138">
        <v>0</v>
      </c>
      <c r="AR198" s="138">
        <f>$F$219</f>
        <v>0.36962820238752458</v>
      </c>
      <c r="AS198" s="138">
        <f>$I$219</f>
        <v>0.26810599086468712</v>
      </c>
      <c r="AT198" s="138">
        <f>$G$219</f>
        <v>0.26974658269181312</v>
      </c>
      <c r="AU198" s="138">
        <f>$S$219</f>
        <v>0.13403810838353239</v>
      </c>
      <c r="AV198" s="138">
        <f>$V$219</f>
        <v>9.0066857826695823E-2</v>
      </c>
      <c r="AW198" s="133"/>
      <c r="AX198" s="133"/>
      <c r="AY198" s="138">
        <v>0</v>
      </c>
      <c r="AZ198" s="138">
        <f>$F$219</f>
        <v>0.36962820238752458</v>
      </c>
      <c r="BA198" s="138">
        <f>$H$219</f>
        <v>0.28004746800509844</v>
      </c>
      <c r="BB198" s="138">
        <f>$G$219</f>
        <v>0.26974658269181312</v>
      </c>
      <c r="BC198" s="138">
        <f>$S$219</f>
        <v>0.13403810838353239</v>
      </c>
      <c r="BD198" s="138">
        <f>$V$219</f>
        <v>9.0066857826695823E-2</v>
      </c>
      <c r="BE198" s="133"/>
      <c r="BF198" s="133"/>
      <c r="BG198" s="138">
        <v>0</v>
      </c>
      <c r="BH198" s="138">
        <f>$F$219</f>
        <v>0.36962820238752458</v>
      </c>
      <c r="BI198" s="138">
        <f>$E$219</f>
        <v>0.41692537379616368</v>
      </c>
      <c r="BJ198" s="138">
        <f>$D$219</f>
        <v>0.42615545963501011</v>
      </c>
      <c r="BK198" s="138">
        <f>$S$219</f>
        <v>0.13403810838353239</v>
      </c>
      <c r="BL198" s="138">
        <f>$V$219</f>
        <v>9.0066857826695823E-2</v>
      </c>
      <c r="BM198" s="133"/>
      <c r="BN198" s="133"/>
      <c r="BO198" s="138">
        <v>0</v>
      </c>
      <c r="BP198" s="138">
        <f>$F$219</f>
        <v>0.36962820238752458</v>
      </c>
      <c r="BQ198" s="138">
        <f>$H$219</f>
        <v>0.28004746800509844</v>
      </c>
      <c r="BR198" s="138">
        <f>$D$219</f>
        <v>0.42615545963501011</v>
      </c>
      <c r="BS198" s="138">
        <f>$S$219</f>
        <v>0.13403810838353239</v>
      </c>
      <c r="BT198" s="138">
        <f>$V$219</f>
        <v>9.0066857826695823E-2</v>
      </c>
    </row>
    <row r="199" spans="1:72" hidden="1" outlineLevel="1" x14ac:dyDescent="0.2">
      <c r="A199" s="132"/>
      <c r="B199" s="133"/>
      <c r="C199" s="138">
        <v>0</v>
      </c>
      <c r="D199" s="138">
        <f>$I$220</f>
        <v>0.1436314877910809</v>
      </c>
      <c r="E199" s="138">
        <f>$J$220</f>
        <v>0.57165110873154523</v>
      </c>
      <c r="F199" s="138">
        <f>$L$220</f>
        <v>0</v>
      </c>
      <c r="G199" s="138">
        <f>$S$220</f>
        <v>0</v>
      </c>
      <c r="H199" s="138">
        <f>$V$220</f>
        <v>9.6502407488873232E-2</v>
      </c>
      <c r="I199" s="133"/>
      <c r="J199" s="133"/>
      <c r="K199" s="138">
        <v>0</v>
      </c>
      <c r="L199" s="136">
        <f t="shared" si="133"/>
        <v>0.99999999999999989</v>
      </c>
      <c r="M199" s="138">
        <f>$J$220</f>
        <v>0.57165110873154523</v>
      </c>
      <c r="N199" s="138">
        <f>$G$220</f>
        <v>0.43350951351747569</v>
      </c>
      <c r="O199" s="138">
        <f>$S$220</f>
        <v>0</v>
      </c>
      <c r="P199" s="138">
        <f>$V$220</f>
        <v>9.6502407488873232E-2</v>
      </c>
      <c r="Q199" s="133"/>
      <c r="R199" s="133"/>
      <c r="S199" s="138">
        <v>0</v>
      </c>
      <c r="T199" s="138">
        <f>$I$220</f>
        <v>0.1436314877910809</v>
      </c>
      <c r="U199" s="138">
        <f>$J$220</f>
        <v>0.57165110873154523</v>
      </c>
      <c r="V199" s="138">
        <f>$G$220</f>
        <v>0.43350951351747569</v>
      </c>
      <c r="W199" s="138">
        <f>$T$220</f>
        <v>0</v>
      </c>
      <c r="X199" s="138">
        <f>$V$220</f>
        <v>9.6502407488873232E-2</v>
      </c>
      <c r="Y199" s="133"/>
      <c r="Z199" s="133"/>
      <c r="AA199" s="138">
        <v>0</v>
      </c>
      <c r="AB199" s="138">
        <f>$K$220</f>
        <v>0.99999999999999989</v>
      </c>
      <c r="AC199" s="138">
        <f>$J$220</f>
        <v>0.57165110873154523</v>
      </c>
      <c r="AD199" s="138">
        <f>$G$220</f>
        <v>0.43350951351747569</v>
      </c>
      <c r="AE199" s="138">
        <f>$T$220</f>
        <v>0</v>
      </c>
      <c r="AF199" s="138">
        <f>$V$220</f>
        <v>9.6502407488873232E-2</v>
      </c>
      <c r="AG199" s="133"/>
      <c r="AH199" s="133"/>
      <c r="AI199" s="138">
        <v>0</v>
      </c>
      <c r="AJ199" s="138">
        <f>$K$220</f>
        <v>0.99999999999999989</v>
      </c>
      <c r="AK199" s="138">
        <f>$H$220</f>
        <v>0.45006405792133763</v>
      </c>
      <c r="AL199" s="138">
        <f>$G$220</f>
        <v>0.43350951351747569</v>
      </c>
      <c r="AM199" s="138">
        <f>$S$220</f>
        <v>0</v>
      </c>
      <c r="AN199" s="138">
        <f>$V$220</f>
        <v>9.6502407488873232E-2</v>
      </c>
      <c r="AP199" s="133"/>
      <c r="AQ199" s="138">
        <v>0</v>
      </c>
      <c r="AR199" s="138">
        <f>$F$220</f>
        <v>0.30464558189920393</v>
      </c>
      <c r="AS199" s="138">
        <f>$I$220</f>
        <v>0.1436314877910809</v>
      </c>
      <c r="AT199" s="138">
        <f>$G$220</f>
        <v>0.43350951351747569</v>
      </c>
      <c r="AU199" s="138">
        <f>$S$220</f>
        <v>0</v>
      </c>
      <c r="AV199" s="138">
        <f>$V$220</f>
        <v>9.6502407488873232E-2</v>
      </c>
      <c r="AW199" s="133"/>
      <c r="AX199" s="133"/>
      <c r="AY199" s="138">
        <v>0</v>
      </c>
      <c r="AZ199" s="138">
        <f>$F$220</f>
        <v>0.30464558189920393</v>
      </c>
      <c r="BA199" s="138">
        <f>$H$220</f>
        <v>0.45006405792133763</v>
      </c>
      <c r="BB199" s="138">
        <f>$G$220</f>
        <v>0.43350951351747569</v>
      </c>
      <c r="BC199" s="138">
        <f>$S$220</f>
        <v>0</v>
      </c>
      <c r="BD199" s="138">
        <f>$V$220</f>
        <v>9.6502407488873232E-2</v>
      </c>
      <c r="BE199" s="133"/>
      <c r="BF199" s="133"/>
      <c r="BG199" s="138">
        <v>0</v>
      </c>
      <c r="BH199" s="138">
        <f>$F$220</f>
        <v>0.30464558189920393</v>
      </c>
      <c r="BI199" s="138">
        <f>$E$220</f>
        <v>0.25526625940759262</v>
      </c>
      <c r="BJ199" s="138">
        <f>$D$220</f>
        <v>0.26091746135925231</v>
      </c>
      <c r="BK199" s="138">
        <f>$S$220</f>
        <v>0</v>
      </c>
      <c r="BL199" s="138">
        <f>$V$220</f>
        <v>9.6502407488873232E-2</v>
      </c>
      <c r="BM199" s="133"/>
      <c r="BN199" s="133"/>
      <c r="BO199" s="138">
        <v>0</v>
      </c>
      <c r="BP199" s="138">
        <f>$F$220</f>
        <v>0.30464558189920393</v>
      </c>
      <c r="BQ199" s="138">
        <f>$H$220</f>
        <v>0.45006405792133763</v>
      </c>
      <c r="BR199" s="138">
        <f>$D$220</f>
        <v>0.26091746135925231</v>
      </c>
      <c r="BS199" s="138">
        <f>$S$220</f>
        <v>0</v>
      </c>
      <c r="BT199" s="138">
        <f>$V$220</f>
        <v>9.6502407488873232E-2</v>
      </c>
    </row>
    <row r="200" spans="1:72" hidden="1" outlineLevel="1" x14ac:dyDescent="0.2">
      <c r="A200" s="132"/>
      <c r="B200" s="133"/>
      <c r="C200" s="138">
        <v>0</v>
      </c>
      <c r="D200" s="138">
        <f>$I$221</f>
        <v>0.24373838184384281</v>
      </c>
      <c r="E200" s="138">
        <f>$J$221</f>
        <v>0.16167916748186939</v>
      </c>
      <c r="F200" s="138">
        <f>$L$221</f>
        <v>0.65356811475743049</v>
      </c>
      <c r="G200" s="138">
        <f>$S$221</f>
        <v>8.1237104617828668E-2</v>
      </c>
      <c r="H200" s="138">
        <f>$V$221</f>
        <v>0</v>
      </c>
      <c r="I200" s="133"/>
      <c r="J200" s="133"/>
      <c r="K200" s="138">
        <v>0</v>
      </c>
      <c r="L200" s="136">
        <f t="shared" si="133"/>
        <v>0</v>
      </c>
      <c r="M200" s="138">
        <f>$J$221</f>
        <v>0.16167916748186939</v>
      </c>
      <c r="N200" s="138">
        <f>$G$221</f>
        <v>3.6782640409724413E-2</v>
      </c>
      <c r="O200" s="138">
        <f>$S$221</f>
        <v>8.1237104617828668E-2</v>
      </c>
      <c r="P200" s="138">
        <f>$V$221</f>
        <v>0</v>
      </c>
      <c r="Q200" s="133"/>
      <c r="R200" s="133"/>
      <c r="S200" s="138">
        <v>0</v>
      </c>
      <c r="T200" s="138">
        <f>$I$221</f>
        <v>0.24373838184384281</v>
      </c>
      <c r="U200" s="138">
        <f>$J$221</f>
        <v>0.16167916748186939</v>
      </c>
      <c r="V200" s="138">
        <f>$G$221</f>
        <v>3.6782640409724413E-2</v>
      </c>
      <c r="W200" s="138">
        <f>$T$221</f>
        <v>0</v>
      </c>
      <c r="X200" s="138">
        <f>$V$221</f>
        <v>0</v>
      </c>
      <c r="Y200" s="133"/>
      <c r="Z200" s="133"/>
      <c r="AA200" s="138">
        <v>0</v>
      </c>
      <c r="AB200" s="138">
        <f>$K$221</f>
        <v>0</v>
      </c>
      <c r="AC200" s="138">
        <f>$J$221</f>
        <v>0.16167916748186939</v>
      </c>
      <c r="AD200" s="138">
        <f>$G$221</f>
        <v>3.6782640409724413E-2</v>
      </c>
      <c r="AE200" s="138">
        <f>$T$221</f>
        <v>0</v>
      </c>
      <c r="AF200" s="138">
        <f>$V$221</f>
        <v>0</v>
      </c>
      <c r="AG200" s="133"/>
      <c r="AH200" s="133"/>
      <c r="AI200" s="138">
        <v>0</v>
      </c>
      <c r="AJ200" s="138">
        <f>$K$221</f>
        <v>0</v>
      </c>
      <c r="AK200" s="138">
        <f>$H$221</f>
        <v>0</v>
      </c>
      <c r="AL200" s="138">
        <f>$G$221</f>
        <v>3.6782640409724413E-2</v>
      </c>
      <c r="AM200" s="138">
        <f>$S$221</f>
        <v>8.1237104617828668E-2</v>
      </c>
      <c r="AN200" s="138">
        <f>$V$221</f>
        <v>0</v>
      </c>
      <c r="AP200" s="133"/>
      <c r="AQ200" s="138">
        <v>0</v>
      </c>
      <c r="AR200" s="138">
        <f>$F$221</f>
        <v>5.169745319076114E-2</v>
      </c>
      <c r="AS200" s="138">
        <f>$I$221</f>
        <v>0.24373838184384281</v>
      </c>
      <c r="AT200" s="138">
        <f>$G$221</f>
        <v>3.6782640409724413E-2</v>
      </c>
      <c r="AU200" s="138">
        <f>$S$221</f>
        <v>8.1237104617828668E-2</v>
      </c>
      <c r="AV200" s="138">
        <f>$V$221</f>
        <v>0</v>
      </c>
      <c r="AW200" s="133"/>
      <c r="AX200" s="133"/>
      <c r="AY200" s="138">
        <v>0</v>
      </c>
      <c r="AZ200" s="138">
        <f>$F$221</f>
        <v>5.169745319076114E-2</v>
      </c>
      <c r="BA200" s="138">
        <f>$H$221</f>
        <v>0</v>
      </c>
      <c r="BB200" s="138">
        <f>$G$221</f>
        <v>3.6782640409724413E-2</v>
      </c>
      <c r="BC200" s="138">
        <f>$S$221</f>
        <v>8.1237104617828668E-2</v>
      </c>
      <c r="BD200" s="138">
        <f>$V$221</f>
        <v>0</v>
      </c>
      <c r="BE200" s="133"/>
      <c r="BF200" s="133"/>
      <c r="BG200" s="138">
        <v>0</v>
      </c>
      <c r="BH200" s="138">
        <f>$F$221</f>
        <v>5.169745319076114E-2</v>
      </c>
      <c r="BI200" s="138">
        <f>$E$221</f>
        <v>2.1658964188213614E-2</v>
      </c>
      <c r="BJ200" s="138">
        <f>$D$221</f>
        <v>0</v>
      </c>
      <c r="BK200" s="138">
        <f>$S$221</f>
        <v>8.1237104617828668E-2</v>
      </c>
      <c r="BL200" s="138">
        <f>$V$221</f>
        <v>0</v>
      </c>
      <c r="BM200" s="133"/>
      <c r="BN200" s="133"/>
      <c r="BO200" s="138">
        <v>0</v>
      </c>
      <c r="BP200" s="138">
        <f>$F$221</f>
        <v>5.169745319076114E-2</v>
      </c>
      <c r="BQ200" s="138">
        <f>$H$221</f>
        <v>0</v>
      </c>
      <c r="BR200" s="138">
        <f>$D$221</f>
        <v>0</v>
      </c>
      <c r="BS200" s="138">
        <f>$S$221</f>
        <v>8.1237104617828668E-2</v>
      </c>
      <c r="BT200" s="138">
        <f>$V$221</f>
        <v>0</v>
      </c>
    </row>
    <row r="201" spans="1:72" hidden="1" outlineLevel="1" x14ac:dyDescent="0.2">
      <c r="A201" s="132"/>
      <c r="B201" s="133"/>
      <c r="C201" s="138">
        <v>0</v>
      </c>
      <c r="D201" s="138">
        <f>$I$222</f>
        <v>0</v>
      </c>
      <c r="E201" s="138">
        <f>$J$222</f>
        <v>0</v>
      </c>
      <c r="F201" s="138">
        <f>$L$222</f>
        <v>0</v>
      </c>
      <c r="G201" s="138">
        <f>$S$222</f>
        <v>0</v>
      </c>
      <c r="H201" s="138">
        <f>$V$222</f>
        <v>0.16075173978593996</v>
      </c>
      <c r="I201" s="133"/>
      <c r="J201" s="133"/>
      <c r="K201" s="138">
        <v>0</v>
      </c>
      <c r="L201" s="136">
        <f t="shared" si="133"/>
        <v>0</v>
      </c>
      <c r="M201" s="138">
        <f>$J$222</f>
        <v>0</v>
      </c>
      <c r="N201" s="138">
        <f>$G$222</f>
        <v>0</v>
      </c>
      <c r="O201" s="138">
        <f>$S$222</f>
        <v>0</v>
      </c>
      <c r="P201" s="138">
        <f>$V$222</f>
        <v>0.16075173978593996</v>
      </c>
      <c r="Q201" s="133"/>
      <c r="R201" s="133"/>
      <c r="S201" s="138">
        <v>0</v>
      </c>
      <c r="T201" s="138">
        <f>$I$222</f>
        <v>0</v>
      </c>
      <c r="U201" s="138">
        <f>$J$222</f>
        <v>0</v>
      </c>
      <c r="V201" s="138">
        <f>$G$222</f>
        <v>0</v>
      </c>
      <c r="W201" s="138">
        <f>$T$222</f>
        <v>0</v>
      </c>
      <c r="X201" s="138">
        <f>$V$222</f>
        <v>0.16075173978593996</v>
      </c>
      <c r="Y201" s="133"/>
      <c r="Z201" s="133"/>
      <c r="AA201" s="138">
        <v>0</v>
      </c>
      <c r="AB201" s="138">
        <f>$K$222</f>
        <v>0</v>
      </c>
      <c r="AC201" s="138">
        <f>$J$222</f>
        <v>0</v>
      </c>
      <c r="AD201" s="138">
        <f>$G$222</f>
        <v>0</v>
      </c>
      <c r="AE201" s="138">
        <f>$T$222</f>
        <v>0</v>
      </c>
      <c r="AF201" s="138">
        <f>$V$222</f>
        <v>0.16075173978593996</v>
      </c>
      <c r="AG201" s="133"/>
      <c r="AH201" s="133"/>
      <c r="AI201" s="138">
        <v>0</v>
      </c>
      <c r="AJ201" s="138">
        <f>$K$222</f>
        <v>0</v>
      </c>
      <c r="AK201" s="138">
        <f>$H$222</f>
        <v>0</v>
      </c>
      <c r="AL201" s="138">
        <f>$G$222</f>
        <v>0</v>
      </c>
      <c r="AM201" s="138">
        <f>$S$222</f>
        <v>0</v>
      </c>
      <c r="AN201" s="138">
        <f>$V$222</f>
        <v>0.16075173978593996</v>
      </c>
      <c r="AP201" s="133"/>
      <c r="AQ201" s="138">
        <v>0</v>
      </c>
      <c r="AR201" s="138">
        <f>$F$222</f>
        <v>0</v>
      </c>
      <c r="AS201" s="138">
        <f>$I$222</f>
        <v>0</v>
      </c>
      <c r="AT201" s="138">
        <f>$G$222</f>
        <v>0</v>
      </c>
      <c r="AU201" s="138">
        <f>$S$222</f>
        <v>0</v>
      </c>
      <c r="AV201" s="138">
        <f>$V$222</f>
        <v>0.16075173978593996</v>
      </c>
      <c r="AW201" s="133"/>
      <c r="AX201" s="133"/>
      <c r="AY201" s="138">
        <v>0</v>
      </c>
      <c r="AZ201" s="138">
        <f>$F$222</f>
        <v>0</v>
      </c>
      <c r="BA201" s="138">
        <f>$H$222</f>
        <v>0</v>
      </c>
      <c r="BB201" s="138">
        <f>$G$222</f>
        <v>0</v>
      </c>
      <c r="BC201" s="138">
        <f>$S$222</f>
        <v>0</v>
      </c>
      <c r="BD201" s="138">
        <f>$V$222</f>
        <v>0.16075173978593996</v>
      </c>
      <c r="BE201" s="133"/>
      <c r="BF201" s="133"/>
      <c r="BG201" s="138">
        <v>0</v>
      </c>
      <c r="BH201" s="138">
        <f>$F$222</f>
        <v>0</v>
      </c>
      <c r="BI201" s="138">
        <f>$E$222</f>
        <v>0</v>
      </c>
      <c r="BJ201" s="138">
        <f>$D$222</f>
        <v>0</v>
      </c>
      <c r="BK201" s="138">
        <f>$S$222</f>
        <v>0</v>
      </c>
      <c r="BL201" s="138">
        <f>$V$222</f>
        <v>0.16075173978593996</v>
      </c>
      <c r="BM201" s="133"/>
      <c r="BN201" s="133"/>
      <c r="BO201" s="138">
        <v>0</v>
      </c>
      <c r="BP201" s="138">
        <f>$F$222</f>
        <v>0</v>
      </c>
      <c r="BQ201" s="138">
        <f>$H$222</f>
        <v>0</v>
      </c>
      <c r="BR201" s="138">
        <f>$D$222</f>
        <v>0</v>
      </c>
      <c r="BS201" s="138">
        <f>$S$222</f>
        <v>0</v>
      </c>
      <c r="BT201" s="138">
        <f>$V$222</f>
        <v>0.16075173978593996</v>
      </c>
    </row>
    <row r="202" spans="1:72" hidden="1" outlineLevel="1" x14ac:dyDescent="0.2">
      <c r="A202" s="132"/>
      <c r="B202" s="133"/>
      <c r="C202" s="138">
        <v>0</v>
      </c>
      <c r="D202" s="138">
        <f>$I$223</f>
        <v>0</v>
      </c>
      <c r="E202" s="138">
        <f>$J$223</f>
        <v>0</v>
      </c>
      <c r="F202" s="138">
        <f>$L$223</f>
        <v>0</v>
      </c>
      <c r="G202" s="138">
        <f>$S$223</f>
        <v>0.32541028179458237</v>
      </c>
      <c r="H202" s="138">
        <f>$V$223</f>
        <v>0.21865931964568422</v>
      </c>
      <c r="I202" s="133"/>
      <c r="J202" s="133"/>
      <c r="K202" s="138">
        <v>0</v>
      </c>
      <c r="L202" s="136">
        <f t="shared" si="133"/>
        <v>0</v>
      </c>
      <c r="M202" s="138">
        <f>$J$223</f>
        <v>0</v>
      </c>
      <c r="N202" s="138">
        <f>$G$223</f>
        <v>0</v>
      </c>
      <c r="O202" s="138">
        <f>$S$223</f>
        <v>0.32541028179458237</v>
      </c>
      <c r="P202" s="138">
        <f>$V$223</f>
        <v>0.21865931964568422</v>
      </c>
      <c r="Q202" s="133"/>
      <c r="R202" s="133"/>
      <c r="S202" s="138">
        <v>0</v>
      </c>
      <c r="T202" s="138">
        <f>$I$223</f>
        <v>0</v>
      </c>
      <c r="U202" s="138">
        <f>$J$223</f>
        <v>0</v>
      </c>
      <c r="V202" s="138">
        <f>$G$223</f>
        <v>0</v>
      </c>
      <c r="W202" s="138">
        <f>$T$223</f>
        <v>0.79072946520505982</v>
      </c>
      <c r="X202" s="138">
        <f>$V$223</f>
        <v>0.21865931964568422</v>
      </c>
      <c r="Y202" s="133"/>
      <c r="Z202" s="133"/>
      <c r="AA202" s="138">
        <v>0</v>
      </c>
      <c r="AB202" s="138">
        <f>$K$223</f>
        <v>0</v>
      </c>
      <c r="AC202" s="138">
        <f>$J$223</f>
        <v>0</v>
      </c>
      <c r="AD202" s="138">
        <f>$G$223</f>
        <v>0</v>
      </c>
      <c r="AE202" s="138">
        <f>$T$223</f>
        <v>0.79072946520505982</v>
      </c>
      <c r="AF202" s="138">
        <f>$V$223</f>
        <v>0.21865931964568422</v>
      </c>
      <c r="AG202" s="133"/>
      <c r="AH202" s="133"/>
      <c r="AI202" s="138">
        <v>0</v>
      </c>
      <c r="AJ202" s="138">
        <f>$K$223</f>
        <v>0</v>
      </c>
      <c r="AK202" s="138">
        <f>$H$223</f>
        <v>0</v>
      </c>
      <c r="AL202" s="138">
        <f>$G$223</f>
        <v>0</v>
      </c>
      <c r="AM202" s="138">
        <f>$S$223</f>
        <v>0.32541028179458237</v>
      </c>
      <c r="AN202" s="138">
        <f>$V$223</f>
        <v>0.21865931964568422</v>
      </c>
      <c r="AP202" s="133"/>
      <c r="AQ202" s="138">
        <v>0</v>
      </c>
      <c r="AR202" s="138">
        <f>$F$223</f>
        <v>0</v>
      </c>
      <c r="AS202" s="138">
        <f>$I$223</f>
        <v>0</v>
      </c>
      <c r="AT202" s="138">
        <f>$G$223</f>
        <v>0</v>
      </c>
      <c r="AU202" s="138">
        <f>$S$223</f>
        <v>0.32541028179458237</v>
      </c>
      <c r="AV202" s="138">
        <f>$V$223</f>
        <v>0.21865931964568422</v>
      </c>
      <c r="AW202" s="133"/>
      <c r="AX202" s="133"/>
      <c r="AY202" s="138">
        <v>0</v>
      </c>
      <c r="AZ202" s="138">
        <f>$F$223</f>
        <v>0</v>
      </c>
      <c r="BA202" s="138">
        <f>$H$223</f>
        <v>0</v>
      </c>
      <c r="BB202" s="138">
        <f>$G$223</f>
        <v>0</v>
      </c>
      <c r="BC202" s="138">
        <f>$S$223</f>
        <v>0.32541028179458237</v>
      </c>
      <c r="BD202" s="138">
        <f>$V$223</f>
        <v>0.21865931964568422</v>
      </c>
      <c r="BE202" s="133"/>
      <c r="BF202" s="133"/>
      <c r="BG202" s="138">
        <v>0</v>
      </c>
      <c r="BH202" s="138">
        <f>$F$223</f>
        <v>0</v>
      </c>
      <c r="BI202" s="138">
        <f>$E$223</f>
        <v>0</v>
      </c>
      <c r="BJ202" s="138">
        <f>$D$223</f>
        <v>0</v>
      </c>
      <c r="BK202" s="138">
        <f>$S$223</f>
        <v>0.32541028179458237</v>
      </c>
      <c r="BL202" s="138">
        <f>$V$223</f>
        <v>0.21865931964568422</v>
      </c>
      <c r="BM202" s="133"/>
      <c r="BN202" s="133"/>
      <c r="BO202" s="138">
        <v>0</v>
      </c>
      <c r="BP202" s="138">
        <f>$F$223</f>
        <v>0</v>
      </c>
      <c r="BQ202" s="138">
        <f>$H$223</f>
        <v>0</v>
      </c>
      <c r="BR202" s="138">
        <f>$D$223</f>
        <v>0</v>
      </c>
      <c r="BS202" s="138">
        <f>$S$223</f>
        <v>0.32541028179458237</v>
      </c>
      <c r="BT202" s="138">
        <f>$V$223</f>
        <v>0.21865931964568422</v>
      </c>
    </row>
    <row r="203" spans="1:72" hidden="1" outlineLevel="1" x14ac:dyDescent="0.2">
      <c r="A203" s="132"/>
      <c r="B203" s="133"/>
      <c r="C203" s="138">
        <v>1</v>
      </c>
      <c r="D203" s="138">
        <f>$I$224</f>
        <v>0.34452413950038913</v>
      </c>
      <c r="E203" s="138">
        <f>$J$224</f>
        <v>0.17774824766946792</v>
      </c>
      <c r="F203" s="138">
        <f>$L$224</f>
        <v>0.34643188524256951</v>
      </c>
      <c r="G203" s="138">
        <f>$S$224</f>
        <v>0.45931450520405653</v>
      </c>
      <c r="H203" s="138">
        <f>$V$224</f>
        <v>0.43401967525280682</v>
      </c>
      <c r="I203" s="133"/>
      <c r="J203" s="133"/>
      <c r="K203" s="138">
        <v>1</v>
      </c>
      <c r="L203" s="136">
        <f t="shared" si="133"/>
        <v>0</v>
      </c>
      <c r="M203" s="138">
        <f>$J$224</f>
        <v>0.17774824766946792</v>
      </c>
      <c r="N203" s="138">
        <f>$G$224</f>
        <v>0.25996126338098668</v>
      </c>
      <c r="O203" s="138">
        <f>$S$224</f>
        <v>0.45931450520405653</v>
      </c>
      <c r="P203" s="138">
        <f>$V$224</f>
        <v>0.43401967525280682</v>
      </c>
      <c r="Q203" s="133"/>
      <c r="R203" s="133"/>
      <c r="S203" s="138">
        <v>1</v>
      </c>
      <c r="T203" s="138">
        <f>$I$224</f>
        <v>0.34452413950038913</v>
      </c>
      <c r="U203" s="138">
        <f>$J$224</f>
        <v>0.17774824766946792</v>
      </c>
      <c r="V203" s="138">
        <f>$G$224</f>
        <v>0.25996126338098668</v>
      </c>
      <c r="W203" s="138">
        <f>$T$224</f>
        <v>0.20927053479494012</v>
      </c>
      <c r="X203" s="138">
        <f>$V$224</f>
        <v>0.43401967525280682</v>
      </c>
      <c r="Y203" s="133"/>
      <c r="Z203" s="133"/>
      <c r="AA203" s="138">
        <v>1</v>
      </c>
      <c r="AB203" s="138">
        <f>$K$224</f>
        <v>0</v>
      </c>
      <c r="AC203" s="138">
        <f>$J$224</f>
        <v>0.17774824766946792</v>
      </c>
      <c r="AD203" s="138">
        <f>$G$224</f>
        <v>0.25996126338098668</v>
      </c>
      <c r="AE203" s="138">
        <f>$T$224</f>
        <v>0.20927053479494012</v>
      </c>
      <c r="AF203" s="138">
        <f>$V$224</f>
        <v>0.43401967525280682</v>
      </c>
      <c r="AG203" s="133"/>
      <c r="AH203" s="133"/>
      <c r="AI203" s="138">
        <v>1</v>
      </c>
      <c r="AJ203" s="138">
        <f>$K$224</f>
        <v>0</v>
      </c>
      <c r="AK203" s="138">
        <f>$H$224</f>
        <v>0.26988847407356381</v>
      </c>
      <c r="AL203" s="138">
        <f>$G$224</f>
        <v>0.25996126338098668</v>
      </c>
      <c r="AM203" s="138">
        <f>$S$224</f>
        <v>0.45931450520405653</v>
      </c>
      <c r="AN203" s="138">
        <f>$V$224</f>
        <v>0.43401967525280682</v>
      </c>
      <c r="AP203" s="133"/>
      <c r="AQ203" s="138">
        <v>1</v>
      </c>
      <c r="AR203" s="138">
        <f>$F$224</f>
        <v>0.27402876252251041</v>
      </c>
      <c r="AS203" s="138">
        <f>$I$224</f>
        <v>0.34452413950038913</v>
      </c>
      <c r="AT203" s="138">
        <f>$G$224</f>
        <v>0.25996126338098668</v>
      </c>
      <c r="AU203" s="138">
        <f>$S$224</f>
        <v>0.45931450520405653</v>
      </c>
      <c r="AV203" s="138">
        <f>$V$224</f>
        <v>0.43401967525280682</v>
      </c>
      <c r="AW203" s="133"/>
      <c r="AX203" s="133"/>
      <c r="AY203" s="138">
        <v>1</v>
      </c>
      <c r="AZ203" s="138">
        <f>$F$224</f>
        <v>0.27402876252251041</v>
      </c>
      <c r="BA203" s="138">
        <f>$H$224</f>
        <v>0.26988847407356381</v>
      </c>
      <c r="BB203" s="138">
        <f>$G$224</f>
        <v>0.25996126338098668</v>
      </c>
      <c r="BC203" s="138">
        <f>$S$224</f>
        <v>0.45931450520405653</v>
      </c>
      <c r="BD203" s="138">
        <f>$V$224</f>
        <v>0.43401967525280682</v>
      </c>
      <c r="BE203" s="133"/>
      <c r="BF203" s="133"/>
      <c r="BG203" s="138">
        <v>1</v>
      </c>
      <c r="BH203" s="138">
        <f>$F$224</f>
        <v>0.27402876252251041</v>
      </c>
      <c r="BI203" s="138">
        <f>$E$224</f>
        <v>0.30614940260803009</v>
      </c>
      <c r="BJ203" s="138">
        <f>$D$224</f>
        <v>0.31292707900573768</v>
      </c>
      <c r="BK203" s="138">
        <f>$S$224</f>
        <v>0.45931450520405653</v>
      </c>
      <c r="BL203" s="138">
        <f>$V$224</f>
        <v>0.43401967525280682</v>
      </c>
      <c r="BM203" s="133"/>
      <c r="BN203" s="133"/>
      <c r="BO203" s="138">
        <v>1</v>
      </c>
      <c r="BP203" s="138">
        <f>$F$224</f>
        <v>0.27402876252251041</v>
      </c>
      <c r="BQ203" s="138">
        <f>$H$224</f>
        <v>0.26988847407356381</v>
      </c>
      <c r="BR203" s="138">
        <f>$D$224</f>
        <v>0.31292707900573768</v>
      </c>
      <c r="BS203" s="138">
        <f>$S$224</f>
        <v>0.45931450520405653</v>
      </c>
      <c r="BT203" s="138">
        <f>$V$224</f>
        <v>0.43401967525280682</v>
      </c>
    </row>
    <row r="204" spans="1:72" hidden="1" outlineLevel="1" x14ac:dyDescent="0.2">
      <c r="B204" s="133"/>
      <c r="C204" s="140">
        <f t="shared" ref="C204:H204" si="134">SUM(C198:C203)</f>
        <v>1</v>
      </c>
      <c r="D204" s="140">
        <f t="shared" si="134"/>
        <v>1</v>
      </c>
      <c r="E204" s="140">
        <f t="shared" si="134"/>
        <v>1</v>
      </c>
      <c r="F204" s="140">
        <f t="shared" si="134"/>
        <v>1</v>
      </c>
      <c r="G204" s="140">
        <f t="shared" si="134"/>
        <v>1</v>
      </c>
      <c r="H204" s="140">
        <f t="shared" si="134"/>
        <v>1</v>
      </c>
      <c r="I204" s="133"/>
      <c r="J204" s="133"/>
      <c r="K204" s="140">
        <f t="shared" ref="K204:P204" si="135">SUM(K198:K203)</f>
        <v>1</v>
      </c>
      <c r="L204" s="140">
        <f t="shared" si="135"/>
        <v>0.99999999999999989</v>
      </c>
      <c r="M204" s="140">
        <f t="shared" si="135"/>
        <v>1</v>
      </c>
      <c r="N204" s="140">
        <f t="shared" si="135"/>
        <v>1</v>
      </c>
      <c r="O204" s="140">
        <f t="shared" si="135"/>
        <v>1</v>
      </c>
      <c r="P204" s="140">
        <f t="shared" si="135"/>
        <v>1</v>
      </c>
      <c r="R204" s="133"/>
      <c r="S204" s="140">
        <f t="shared" ref="S204:X204" si="136">SUM(S198:S203)</f>
        <v>1</v>
      </c>
      <c r="T204" s="140">
        <f t="shared" si="136"/>
        <v>1</v>
      </c>
      <c r="U204" s="140">
        <f t="shared" si="136"/>
        <v>1</v>
      </c>
      <c r="V204" s="140">
        <f t="shared" si="136"/>
        <v>1</v>
      </c>
      <c r="W204" s="140">
        <f t="shared" si="136"/>
        <v>1</v>
      </c>
      <c r="X204" s="140">
        <f t="shared" si="136"/>
        <v>1</v>
      </c>
      <c r="Z204" s="133"/>
      <c r="AA204" s="140">
        <f t="shared" ref="AA204:AF204" si="137">SUM(AA198:AA203)</f>
        <v>1</v>
      </c>
      <c r="AB204" s="140">
        <f t="shared" si="137"/>
        <v>0.99999999999999989</v>
      </c>
      <c r="AC204" s="140">
        <f t="shared" si="137"/>
        <v>1</v>
      </c>
      <c r="AD204" s="140">
        <f t="shared" si="137"/>
        <v>1</v>
      </c>
      <c r="AE204" s="140">
        <f t="shared" si="137"/>
        <v>1</v>
      </c>
      <c r="AF204" s="140">
        <f t="shared" si="137"/>
        <v>1</v>
      </c>
      <c r="AG204" s="133"/>
      <c r="AH204" s="133"/>
      <c r="AI204" s="140">
        <f t="shared" ref="AI204:AN204" si="138">SUM(AI198:AI203)</f>
        <v>1</v>
      </c>
      <c r="AJ204" s="140">
        <f t="shared" si="138"/>
        <v>0.99999999999999989</v>
      </c>
      <c r="AK204" s="140">
        <f t="shared" si="138"/>
        <v>1</v>
      </c>
      <c r="AL204" s="140">
        <f t="shared" si="138"/>
        <v>1</v>
      </c>
      <c r="AM204" s="140">
        <f t="shared" si="138"/>
        <v>1</v>
      </c>
      <c r="AN204" s="140">
        <f t="shared" si="138"/>
        <v>1</v>
      </c>
      <c r="AP204" s="133"/>
      <c r="AQ204" s="140">
        <f t="shared" ref="AQ204:AV204" si="139">SUM(AQ198:AQ203)</f>
        <v>1</v>
      </c>
      <c r="AR204" s="140">
        <f t="shared" si="139"/>
        <v>1</v>
      </c>
      <c r="AS204" s="140">
        <f t="shared" si="139"/>
        <v>1</v>
      </c>
      <c r="AT204" s="140">
        <f t="shared" si="139"/>
        <v>1</v>
      </c>
      <c r="AU204" s="140">
        <f t="shared" si="139"/>
        <v>1</v>
      </c>
      <c r="AV204" s="140">
        <f t="shared" si="139"/>
        <v>1</v>
      </c>
      <c r="AW204" s="133"/>
      <c r="AX204" s="133"/>
      <c r="AY204" s="140">
        <f t="shared" ref="AY204:BD204" si="140">SUM(AY198:AY203)</f>
        <v>1</v>
      </c>
      <c r="AZ204" s="140">
        <f t="shared" si="140"/>
        <v>1</v>
      </c>
      <c r="BA204" s="140">
        <f t="shared" si="140"/>
        <v>1</v>
      </c>
      <c r="BB204" s="140">
        <f t="shared" si="140"/>
        <v>1</v>
      </c>
      <c r="BC204" s="140">
        <f t="shared" si="140"/>
        <v>1</v>
      </c>
      <c r="BD204" s="141">
        <f t="shared" si="140"/>
        <v>1</v>
      </c>
      <c r="BE204" s="133"/>
      <c r="BF204" s="133"/>
      <c r="BG204" s="140">
        <f t="shared" ref="BG204:BL204" si="141">SUM(BG198:BG203)</f>
        <v>1</v>
      </c>
      <c r="BH204" s="140">
        <f t="shared" si="141"/>
        <v>1</v>
      </c>
      <c r="BI204" s="140">
        <f t="shared" si="141"/>
        <v>1</v>
      </c>
      <c r="BJ204" s="140">
        <f t="shared" si="141"/>
        <v>1</v>
      </c>
      <c r="BK204" s="140">
        <f t="shared" si="141"/>
        <v>1</v>
      </c>
      <c r="BL204" s="141">
        <f t="shared" si="141"/>
        <v>1</v>
      </c>
      <c r="BM204" s="133"/>
      <c r="BN204" s="133"/>
      <c r="BO204" s="140">
        <f t="shared" ref="BO204:BT204" si="142">SUM(BO198:BO203)</f>
        <v>1</v>
      </c>
      <c r="BP204" s="140">
        <f t="shared" si="142"/>
        <v>1</v>
      </c>
      <c r="BQ204" s="140">
        <f t="shared" si="142"/>
        <v>1</v>
      </c>
      <c r="BR204" s="140">
        <f t="shared" si="142"/>
        <v>1</v>
      </c>
      <c r="BS204" s="140">
        <f t="shared" si="142"/>
        <v>1</v>
      </c>
      <c r="BT204" s="141">
        <f t="shared" si="142"/>
        <v>1</v>
      </c>
    </row>
    <row r="205" spans="1:72" hidden="1" outlineLevel="1" x14ac:dyDescent="0.2">
      <c r="B205" s="142">
        <f t="array" ref="B205:B210">MMULT(C205:H210,$V$19:$V$24)</f>
        <v>-4.7337588141310292</v>
      </c>
      <c r="C205" s="138">
        <f t="array" ref="C205:H210">MINVERSE(C198:H203)</f>
        <v>-0.78205085445934686</v>
      </c>
      <c r="D205" s="138">
        <v>-3.9372062723254289E-2</v>
      </c>
      <c r="E205" s="138">
        <v>-0.53006240270938942</v>
      </c>
      <c r="F205" s="138">
        <v>-0.93634201481358748</v>
      </c>
      <c r="G205" s="138">
        <v>-0.95703538140295197</v>
      </c>
      <c r="H205" s="138">
        <v>1</v>
      </c>
      <c r="J205" s="142">
        <f t="array" ref="J205:J210">MMULT(K205:P210,$V$19:$V$24)</f>
        <v>-4.8052379857158698</v>
      </c>
      <c r="K205" s="138">
        <f t="array" ref="K205:P210">MINVERSE(K198:P203)</f>
        <v>-0.87979254367277293</v>
      </c>
      <c r="L205" s="138">
        <v>0</v>
      </c>
      <c r="M205" s="138">
        <v>-0.61551403040475805</v>
      </c>
      <c r="N205" s="138">
        <v>-0.9889950535366494</v>
      </c>
      <c r="O205" s="138">
        <v>-0.89544250904287259</v>
      </c>
      <c r="P205" s="138">
        <v>1</v>
      </c>
      <c r="R205" s="142">
        <f t="array" ref="R205:R210">MMULT(S205:X210,$V$19:$V$24)</f>
        <v>5.996678769209872</v>
      </c>
      <c r="S205" s="138">
        <f t="array" ref="S205:X210">MINVERSE(S198:X203)</f>
        <v>-0.82268463095917754</v>
      </c>
      <c r="T205" s="138">
        <v>-4.6956861209020428E-2</v>
      </c>
      <c r="U205" s="138">
        <v>-0.48089667545907466</v>
      </c>
      <c r="V205" s="138">
        <v>-1.8508186335506309</v>
      </c>
      <c r="W205" s="138">
        <v>-0.26465503563936371</v>
      </c>
      <c r="X205" s="138">
        <v>1</v>
      </c>
      <c r="Z205" s="142">
        <f t="array" ref="Z205:Z210">MMULT(AA205:AF210,$V$19:$V$24)</f>
        <v>5.2921644048373722</v>
      </c>
      <c r="AA205" s="138">
        <f t="array" ref="AA205:AF210">MINVERSE(AA198:AF203)</f>
        <v>-0.87979254367277293</v>
      </c>
      <c r="AB205" s="138">
        <v>0</v>
      </c>
      <c r="AC205" s="138">
        <v>-0.61551403040475805</v>
      </c>
      <c r="AD205" s="138">
        <v>-1.847011022502822</v>
      </c>
      <c r="AE205" s="138">
        <v>-0.26465503563936371</v>
      </c>
      <c r="AF205" s="138">
        <v>1</v>
      </c>
      <c r="AH205" s="142">
        <f t="array" ref="AH205:AH210">MMULT(AI205:AN210,$V$19:$V$24)</f>
        <v>-6.7240685383498544</v>
      </c>
      <c r="AI205" s="138">
        <f t="array" ref="AI205:AN210">MINVERSE(AI198:AN203)</f>
        <v>-0.96372402863021178</v>
      </c>
      <c r="AJ205" s="138">
        <v>0</v>
      </c>
      <c r="AK205" s="138">
        <v>8.8817841970012523E-16</v>
      </c>
      <c r="AL205" s="138">
        <v>-0.77998198903889082</v>
      </c>
      <c r="AM205" s="138">
        <v>-1.0145308180861607</v>
      </c>
      <c r="AN205" s="138">
        <v>1</v>
      </c>
      <c r="AP205" s="142">
        <f t="array" ref="AP205:AP210">MMULT(AQ205:AV210,$V$19:$V$24)</f>
        <v>-2.9000622611471343</v>
      </c>
      <c r="AQ205" s="138">
        <f t="array" ref="AQ205:AV210">MINVERSE(AQ198:AV203)</f>
        <v>-0.39033462290132692</v>
      </c>
      <c r="AR205" s="138">
        <v>-0.28766564716359533</v>
      </c>
      <c r="AS205" s="138">
        <v>-0.81462444391443056</v>
      </c>
      <c r="AT205" s="138">
        <v>-0.88391663222982819</v>
      </c>
      <c r="AU205" s="138">
        <v>-1.0473457005098243</v>
      </c>
      <c r="AV205" s="138">
        <v>1</v>
      </c>
      <c r="AW205" s="133"/>
      <c r="AX205" s="142">
        <f t="array" ref="AX205:AX210">MMULT(AY205:BD210,$V$19:$V$24)</f>
        <v>-5.4558852738200088</v>
      </c>
      <c r="AY205" s="138">
        <f t="array" ref="AY205:BD210">MINVERSE(AY198:BD203)</f>
        <v>-0.50727523281838138</v>
      </c>
      <c r="AZ205" s="138">
        <v>-0.28402030175762416</v>
      </c>
      <c r="BA205" s="138">
        <v>0</v>
      </c>
      <c r="BB205" s="138">
        <v>-0.60947905742630182</v>
      </c>
      <c r="BC205" s="138">
        <v>-1.2025443400534237</v>
      </c>
      <c r="BD205" s="139">
        <v>1</v>
      </c>
      <c r="BE205" s="133"/>
      <c r="BF205" s="142">
        <f t="array" ref="BF205:BF210">MMULT(BG205:BL210,$V$19:$V$24)</f>
        <v>-5.8855631152531558</v>
      </c>
      <c r="BG205" s="138">
        <f t="array" ref="BG205:BL210">MINVERSE(BG198:BL203)</f>
        <v>-0.71390534431973585</v>
      </c>
      <c r="BH205" s="138">
        <v>-3.3314822304292058E-2</v>
      </c>
      <c r="BI205" s="138">
        <v>1.7763568394002505E-15</v>
      </c>
      <c r="BJ205" s="138">
        <v>-0.75998245085840588</v>
      </c>
      <c r="BK205" s="138">
        <v>-1.1174323726995368</v>
      </c>
      <c r="BL205" s="139">
        <v>1</v>
      </c>
      <c r="BM205" s="133"/>
      <c r="BN205" s="142">
        <f t="array" ref="BN205:BN210">MMULT(BO205:BT210,$V$19:$V$24)</f>
        <v>-6.4831071356119665</v>
      </c>
      <c r="BO205" s="138">
        <f t="array" ref="BO205:BT210">MINVERSE(BO198:BT203)</f>
        <v>-0.59310884324541913</v>
      </c>
      <c r="BP205" s="138">
        <v>-0.23061127065025899</v>
      </c>
      <c r="BQ205" s="138">
        <v>0.29896439403252728</v>
      </c>
      <c r="BR205" s="138">
        <v>-0.5400207618974715</v>
      </c>
      <c r="BS205" s="138">
        <v>-1.2418240668867808</v>
      </c>
      <c r="BT205" s="139">
        <v>1</v>
      </c>
    </row>
    <row r="206" spans="1:72" hidden="1" outlineLevel="1" x14ac:dyDescent="0.2">
      <c r="B206" s="142">
        <v>13.550448407772663</v>
      </c>
      <c r="C206" s="138">
        <v>4.0689470883911421</v>
      </c>
      <c r="D206" s="138">
        <v>-0.63293287779155138</v>
      </c>
      <c r="E206" s="138">
        <v>0</v>
      </c>
      <c r="F206" s="138">
        <v>0.37996196225981882</v>
      </c>
      <c r="G206" s="138">
        <v>-1.6760194786497695</v>
      </c>
      <c r="H206" s="138">
        <v>0</v>
      </c>
      <c r="J206" s="142">
        <v>4.4720683859725696</v>
      </c>
      <c r="K206" s="138">
        <v>-1.2161782377103429</v>
      </c>
      <c r="L206" s="138">
        <v>1</v>
      </c>
      <c r="M206" s="138">
        <v>-2.86683035193637</v>
      </c>
      <c r="N206" s="138">
        <v>-1.5738229147270986</v>
      </c>
      <c r="O206" s="138">
        <v>1.2166401918168437</v>
      </c>
      <c r="P206" s="138">
        <v>0</v>
      </c>
      <c r="R206" s="142">
        <v>17.026341672147993</v>
      </c>
      <c r="S206" s="138">
        <v>1.3801547324175945</v>
      </c>
      <c r="T206" s="138">
        <v>-1.1348293281550277</v>
      </c>
      <c r="U206" s="138">
        <v>3.2533631622223917</v>
      </c>
      <c r="V206" s="138">
        <v>-9.2020390119907924E-2</v>
      </c>
      <c r="W206" s="138">
        <v>0</v>
      </c>
      <c r="X206" s="138">
        <v>0</v>
      </c>
      <c r="Z206" s="142">
        <v>-15.003438182047089</v>
      </c>
      <c r="AA206" s="138">
        <v>-1.2161782377103429</v>
      </c>
      <c r="AB206" s="138">
        <v>1</v>
      </c>
      <c r="AC206" s="138">
        <v>-2.86683035193637</v>
      </c>
      <c r="AD206" s="138">
        <v>8.1087426837577317E-2</v>
      </c>
      <c r="AE206" s="138">
        <v>0</v>
      </c>
      <c r="AF206" s="138">
        <v>0</v>
      </c>
      <c r="AH206" s="142">
        <v>-4.465114841023162</v>
      </c>
      <c r="AI206" s="138">
        <v>-1.6070991861749095</v>
      </c>
      <c r="AJ206" s="138">
        <v>1</v>
      </c>
      <c r="AK206" s="138">
        <v>1.7763568394002505E-15</v>
      </c>
      <c r="AL206" s="138">
        <v>-0.60031952137735822</v>
      </c>
      <c r="AM206" s="138">
        <v>0.66197212242844838</v>
      </c>
      <c r="AN206" s="138">
        <v>0</v>
      </c>
      <c r="AP206" s="142">
        <v>30.554996596262491</v>
      </c>
      <c r="AQ206" s="138">
        <v>6.2455750154351461</v>
      </c>
      <c r="AR206" s="138">
        <v>-3.4771938279979437</v>
      </c>
      <c r="AS206" s="138">
        <v>-4.8209130884133193</v>
      </c>
      <c r="AT206" s="138">
        <v>0.45036665273608617</v>
      </c>
      <c r="AU206" s="138">
        <v>-1.3690656529430627</v>
      </c>
      <c r="AV206" s="138">
        <v>0</v>
      </c>
      <c r="AW206" s="133"/>
      <c r="AX206" s="142">
        <v>15.429743842667335</v>
      </c>
      <c r="AY206" s="138">
        <v>5.5535254199096462</v>
      </c>
      <c r="AZ206" s="138">
        <v>-3.4556208276899887</v>
      </c>
      <c r="BA206" s="138">
        <v>-4.8057935729100216E-15</v>
      </c>
      <c r="BB206" s="138">
        <v>2.074476641340488</v>
      </c>
      <c r="BC206" s="138">
        <v>-2.2875246536138931</v>
      </c>
      <c r="BD206" s="139">
        <v>0</v>
      </c>
      <c r="BE206" s="133"/>
      <c r="BF206" s="142">
        <v>-12.370867163894388</v>
      </c>
      <c r="BG206" s="138">
        <v>-7.8156614409528302</v>
      </c>
      <c r="BH206" s="138">
        <v>12.765288978244815</v>
      </c>
      <c r="BI206" s="138">
        <v>9.6115871458200432E-15</v>
      </c>
      <c r="BJ206" s="138">
        <v>-7.663252169663596</v>
      </c>
      <c r="BK206" s="138">
        <v>3.2193096958526142</v>
      </c>
      <c r="BL206" s="139">
        <v>0</v>
      </c>
      <c r="BM206" s="133"/>
      <c r="BN206" s="142">
        <v>-51.032597575416261</v>
      </c>
      <c r="BO206" s="138">
        <v>-6.007241966137527E-16</v>
      </c>
      <c r="BP206" s="138">
        <v>0</v>
      </c>
      <c r="BQ206" s="138">
        <v>19.343312644629663</v>
      </c>
      <c r="BR206" s="138">
        <v>6.5685018597116667</v>
      </c>
      <c r="BS206" s="138">
        <v>-4.8289645437789295</v>
      </c>
      <c r="BT206" s="139">
        <v>0</v>
      </c>
    </row>
    <row r="207" spans="1:72" hidden="1" outlineLevel="1" x14ac:dyDescent="0.2">
      <c r="B207" s="142">
        <v>-1.3361415290780556</v>
      </c>
      <c r="C207" s="138">
        <v>-1.0223524718523058</v>
      </c>
      <c r="D207" s="138">
        <v>1.9083477216194746</v>
      </c>
      <c r="E207" s="138">
        <v>0</v>
      </c>
      <c r="F207" s="138">
        <v>-1.1456183908641766</v>
      </c>
      <c r="G207" s="138">
        <v>0.42111205175383937</v>
      </c>
      <c r="H207" s="138">
        <v>0</v>
      </c>
      <c r="J207" s="142">
        <v>-20.844962127808245</v>
      </c>
      <c r="K207" s="138">
        <v>-0.91177859497124714</v>
      </c>
      <c r="L207" s="138">
        <v>0</v>
      </c>
      <c r="M207" s="138">
        <v>6.6865553267898044</v>
      </c>
      <c r="N207" s="138">
        <v>2.2705858043026357</v>
      </c>
      <c r="O207" s="138">
        <v>-1.2937001073203054</v>
      </c>
      <c r="P207" s="138">
        <v>0</v>
      </c>
      <c r="R207" s="142">
        <v>-23.722788561081856</v>
      </c>
      <c r="S207" s="138">
        <v>-2.823730231493748</v>
      </c>
      <c r="T207" s="138">
        <v>1.5720982149146714</v>
      </c>
      <c r="U207" s="138">
        <v>2.179616448047438</v>
      </c>
      <c r="V207" s="138">
        <v>0.63833366213831455</v>
      </c>
      <c r="W207" s="138">
        <v>0</v>
      </c>
      <c r="X207" s="138">
        <v>0</v>
      </c>
      <c r="Z207" s="142">
        <v>-0.13591017750301315</v>
      </c>
      <c r="AA207" s="138">
        <v>-0.91177859497124714</v>
      </c>
      <c r="AB207" s="138">
        <v>0</v>
      </c>
      <c r="AC207" s="138">
        <v>6.6865553267898044</v>
      </c>
      <c r="AD207" s="138">
        <v>0.51085626315493515</v>
      </c>
      <c r="AE207" s="138">
        <v>0</v>
      </c>
      <c r="AF207" s="138">
        <v>0</v>
      </c>
      <c r="AH207" s="142">
        <v>81.635689945165339</v>
      </c>
      <c r="AI207" s="138">
        <v>3.5708232148051215</v>
      </c>
      <c r="AJ207" s="138">
        <v>0</v>
      </c>
      <c r="AK207" s="138">
        <v>-26.186737788830001</v>
      </c>
      <c r="AL207" s="138">
        <v>-8.8923567036211146</v>
      </c>
      <c r="AM207" s="138">
        <v>5.0665527812274442</v>
      </c>
      <c r="AN207" s="138">
        <v>0</v>
      </c>
      <c r="AP207" s="142">
        <v>-15.238052824017901</v>
      </c>
      <c r="AQ207" s="138">
        <v>-0.69721071543423885</v>
      </c>
      <c r="AR207" s="138">
        <v>2.1733885946933231E-2</v>
      </c>
      <c r="AS207" s="138">
        <v>4.8568661627013228</v>
      </c>
      <c r="AT207" s="138">
        <v>1.6362221644518606</v>
      </c>
      <c r="AU207" s="138">
        <v>-0.92530862108007828</v>
      </c>
      <c r="AV207" s="138">
        <v>0</v>
      </c>
      <c r="AW207" s="133"/>
      <c r="AX207" s="142">
        <v>82.158923130169086</v>
      </c>
      <c r="AY207" s="138">
        <v>3.759147066651785</v>
      </c>
      <c r="AZ207" s="138">
        <v>-0.11718246979820653</v>
      </c>
      <c r="BA207" s="138">
        <v>-26.186737788829998</v>
      </c>
      <c r="BB207" s="138">
        <v>-8.822009779438039</v>
      </c>
      <c r="BC207" s="138">
        <v>4.9889812529837183</v>
      </c>
      <c r="BD207" s="139">
        <v>0</v>
      </c>
      <c r="BE207" s="133"/>
      <c r="BF207" s="142">
        <v>-92.281098064289324</v>
      </c>
      <c r="BG207" s="138">
        <v>18.655083779046635</v>
      </c>
      <c r="BH207" s="138">
        <v>-30.469274693130192</v>
      </c>
      <c r="BI207" s="138">
        <v>46.17025963523129</v>
      </c>
      <c r="BJ207" s="138">
        <v>33.969557886633936</v>
      </c>
      <c r="BK207" s="138">
        <v>-19.210303740941605</v>
      </c>
      <c r="BL207" s="139">
        <v>0</v>
      </c>
      <c r="BM207" s="133"/>
      <c r="BN207" s="142">
        <v>10.870902769233787</v>
      </c>
      <c r="BO207" s="138">
        <v>-2.1976071608147092</v>
      </c>
      <c r="BP207" s="138">
        <v>3.5893431004401131</v>
      </c>
      <c r="BQ207" s="138">
        <v>-5.4389513546448356</v>
      </c>
      <c r="BR207" s="138">
        <v>-4.0016836453570503</v>
      </c>
      <c r="BS207" s="138">
        <v>2.2630132119769195</v>
      </c>
      <c r="BT207" s="139">
        <v>0</v>
      </c>
    </row>
    <row r="208" spans="1:72" hidden="1" outlineLevel="1" x14ac:dyDescent="0.2">
      <c r="B208" s="142">
        <v>-8.7595972220776641</v>
      </c>
      <c r="C208" s="138">
        <v>-1.2645437620794893</v>
      </c>
      <c r="D208" s="138">
        <v>-0.23604278110466914</v>
      </c>
      <c r="E208" s="138">
        <v>1.5300624027093894</v>
      </c>
      <c r="F208" s="138">
        <v>0.6612717504275667</v>
      </c>
      <c r="G208" s="138">
        <v>0.13889915864783206</v>
      </c>
      <c r="H208" s="138">
        <v>0</v>
      </c>
      <c r="J208" s="142">
        <v>19.899082570037471</v>
      </c>
      <c r="K208" s="138">
        <v>4.0077493763543632</v>
      </c>
      <c r="L208" s="138">
        <v>0</v>
      </c>
      <c r="M208" s="138">
        <v>-2.2042109444486777</v>
      </c>
      <c r="N208" s="138">
        <v>-0.74849452902926705</v>
      </c>
      <c r="O208" s="138">
        <v>-1.1005412251047155</v>
      </c>
      <c r="P208" s="138">
        <v>0</v>
      </c>
      <c r="R208" s="142">
        <v>28.368705858091261</v>
      </c>
      <c r="S208" s="138">
        <v>3.2662601300353318</v>
      </c>
      <c r="T208" s="138">
        <v>0.6096879744493765</v>
      </c>
      <c r="U208" s="138">
        <v>-3.9520829348107558</v>
      </c>
      <c r="V208" s="138">
        <v>-2.1960455580658871</v>
      </c>
      <c r="W208" s="138">
        <v>0</v>
      </c>
      <c r="X208" s="138">
        <v>0</v>
      </c>
      <c r="Z208" s="142">
        <v>37.516121693079988</v>
      </c>
      <c r="AA208" s="138">
        <v>4.0077493763543632</v>
      </c>
      <c r="AB208" s="138">
        <v>0</v>
      </c>
      <c r="AC208" s="138">
        <v>-2.2042109444486777</v>
      </c>
      <c r="AD208" s="138">
        <v>-2.2454835870878016</v>
      </c>
      <c r="AE208" s="138">
        <v>0</v>
      </c>
      <c r="AF208" s="138">
        <v>0</v>
      </c>
      <c r="AH208" s="142">
        <v>-71.725555723306428</v>
      </c>
      <c r="AI208" s="138">
        <v>0</v>
      </c>
      <c r="AJ208" s="138">
        <v>0</v>
      </c>
      <c r="AK208" s="138">
        <v>27.186737788829998</v>
      </c>
      <c r="AL208" s="138">
        <v>9.2319315210469846</v>
      </c>
      <c r="AM208" s="138">
        <v>-6.7870377352207818</v>
      </c>
      <c r="AN208" s="138">
        <v>0</v>
      </c>
      <c r="AP208" s="142">
        <v>-13.69593066861156</v>
      </c>
      <c r="AQ208" s="138">
        <v>-4.1580296770995817</v>
      </c>
      <c r="AR208" s="138">
        <v>4.7431255892146069</v>
      </c>
      <c r="AS208" s="138">
        <v>1.7786713696264278</v>
      </c>
      <c r="AT208" s="138">
        <v>-2.2433988779484979</v>
      </c>
      <c r="AU208" s="138">
        <v>1.2686763248819155</v>
      </c>
      <c r="AV208" s="138">
        <v>0</v>
      </c>
      <c r="AW208" s="133"/>
      <c r="AX208" s="142">
        <v>-93.411830856530486</v>
      </c>
      <c r="AY208" s="138">
        <v>-7.8053972537430507</v>
      </c>
      <c r="AZ208" s="138">
        <v>4.8568235992458204</v>
      </c>
      <c r="BA208" s="138">
        <v>27.186737788830001</v>
      </c>
      <c r="BB208" s="138">
        <v>6.3162855025334732</v>
      </c>
      <c r="BC208" s="138">
        <v>-3.5719559089674511</v>
      </c>
      <c r="BD208" s="139">
        <v>0</v>
      </c>
      <c r="BE208" s="133"/>
      <c r="BF208" s="142">
        <v>109.25847918592279</v>
      </c>
      <c r="BG208" s="138">
        <v>-9.1255169937740668</v>
      </c>
      <c r="BH208" s="138">
        <v>18.737300537189668</v>
      </c>
      <c r="BI208" s="138">
        <v>-45.170259635231297</v>
      </c>
      <c r="BJ208" s="138">
        <v>-26.587049959102306</v>
      </c>
      <c r="BK208" s="138">
        <v>15.035382768137476</v>
      </c>
      <c r="BL208" s="139">
        <v>0</v>
      </c>
      <c r="BM208" s="133"/>
      <c r="BN208" s="142">
        <v>45.365752784280318</v>
      </c>
      <c r="BO208" s="138">
        <v>3.790716004060128</v>
      </c>
      <c r="BP208" s="138">
        <v>-2.3587318297898534</v>
      </c>
      <c r="BQ208" s="138">
        <v>-13.203325684017354</v>
      </c>
      <c r="BR208" s="138">
        <v>-3.0675241454475244</v>
      </c>
      <c r="BS208" s="138">
        <v>1.7347317490377405</v>
      </c>
      <c r="BT208" s="139">
        <v>0</v>
      </c>
    </row>
    <row r="209" spans="1:72" hidden="1" outlineLevel="1" x14ac:dyDescent="0.2">
      <c r="B209" s="142">
        <v>49.192096550103095</v>
      </c>
      <c r="C209" s="138">
        <v>0</v>
      </c>
      <c r="D209" s="138">
        <v>0</v>
      </c>
      <c r="E209" s="138">
        <v>0</v>
      </c>
      <c r="F209" s="138">
        <v>-4.1800457934014883</v>
      </c>
      <c r="G209" s="138">
        <v>3.07304364965105</v>
      </c>
      <c r="H209" s="138">
        <v>0</v>
      </c>
      <c r="J209" s="142">
        <v>49.192096550103095</v>
      </c>
      <c r="K209" s="138">
        <v>0</v>
      </c>
      <c r="L209" s="138">
        <v>0</v>
      </c>
      <c r="M209" s="138">
        <v>0</v>
      </c>
      <c r="N209" s="138">
        <v>-4.1800457934014883</v>
      </c>
      <c r="O209" s="138">
        <v>3.07304364965105</v>
      </c>
      <c r="P209" s="138">
        <v>0</v>
      </c>
      <c r="R209" s="142">
        <v>20.244109654221742</v>
      </c>
      <c r="S209" s="138">
        <v>0</v>
      </c>
      <c r="T209" s="138">
        <v>0</v>
      </c>
      <c r="U209" s="138">
        <v>0</v>
      </c>
      <c r="V209" s="138">
        <v>-1.7202215667937562</v>
      </c>
      <c r="W209" s="138">
        <v>1.2646550356393638</v>
      </c>
      <c r="X209" s="138">
        <v>0</v>
      </c>
      <c r="Z209" s="142">
        <v>20.244109654221742</v>
      </c>
      <c r="AA209" s="138">
        <v>0</v>
      </c>
      <c r="AB209" s="138">
        <v>0</v>
      </c>
      <c r="AC209" s="138">
        <v>0</v>
      </c>
      <c r="AD209" s="138">
        <v>-1.7202215667937562</v>
      </c>
      <c r="AE209" s="138">
        <v>1.2646550356393638</v>
      </c>
      <c r="AF209" s="138">
        <v>0</v>
      </c>
      <c r="AH209" s="142">
        <v>49.192096550103095</v>
      </c>
      <c r="AI209" s="138">
        <v>0</v>
      </c>
      <c r="AJ209" s="138">
        <v>0</v>
      </c>
      <c r="AK209" s="138">
        <v>0</v>
      </c>
      <c r="AL209" s="138">
        <v>-4.1800457934014883</v>
      </c>
      <c r="AM209" s="138">
        <v>3.07304364965105</v>
      </c>
      <c r="AN209" s="138">
        <v>0</v>
      </c>
      <c r="AP209" s="142">
        <v>49.192096550103095</v>
      </c>
      <c r="AQ209" s="138">
        <v>0</v>
      </c>
      <c r="AR209" s="138">
        <v>0</v>
      </c>
      <c r="AS209" s="138">
        <v>0</v>
      </c>
      <c r="AT209" s="138">
        <v>-4.1800457934014883</v>
      </c>
      <c r="AU209" s="138">
        <v>3.07304364965105</v>
      </c>
      <c r="AV209" s="138">
        <v>0</v>
      </c>
      <c r="AW209" s="133"/>
      <c r="AX209" s="142">
        <v>49.192096550103095</v>
      </c>
      <c r="AY209" s="138">
        <v>0</v>
      </c>
      <c r="AZ209" s="138">
        <v>0</v>
      </c>
      <c r="BA209" s="138">
        <v>0</v>
      </c>
      <c r="BB209" s="138">
        <v>-4.1800457934014883</v>
      </c>
      <c r="BC209" s="138">
        <v>3.07304364965105</v>
      </c>
      <c r="BD209" s="139">
        <v>0</v>
      </c>
      <c r="BE209" s="133"/>
      <c r="BF209" s="142">
        <v>49.192096550103095</v>
      </c>
      <c r="BG209" s="138">
        <v>0</v>
      </c>
      <c r="BH209" s="138">
        <v>0</v>
      </c>
      <c r="BI209" s="138">
        <v>0</v>
      </c>
      <c r="BJ209" s="138">
        <v>-4.1800457934014883</v>
      </c>
      <c r="BK209" s="138">
        <v>3.07304364965105</v>
      </c>
      <c r="BL209" s="139">
        <v>0</v>
      </c>
      <c r="BM209" s="133"/>
      <c r="BN209" s="142">
        <v>49.192096550103095</v>
      </c>
      <c r="BO209" s="138">
        <v>0</v>
      </c>
      <c r="BP209" s="138">
        <v>0</v>
      </c>
      <c r="BQ209" s="138">
        <v>0</v>
      </c>
      <c r="BR209" s="138">
        <v>-4.1800457934014883</v>
      </c>
      <c r="BS209" s="138">
        <v>3.07304364965105</v>
      </c>
      <c r="BT209" s="139">
        <v>0</v>
      </c>
    </row>
    <row r="210" spans="1:72" hidden="1" outlineLevel="1" x14ac:dyDescent="0.2">
      <c r="B210" s="142">
        <v>50.505123719522622</v>
      </c>
      <c r="C210" s="138">
        <v>0</v>
      </c>
      <c r="D210" s="138">
        <v>0</v>
      </c>
      <c r="E210" s="138">
        <v>0</v>
      </c>
      <c r="F210" s="138">
        <v>6.2207724863918665</v>
      </c>
      <c r="G210" s="138">
        <v>0</v>
      </c>
      <c r="H210" s="138">
        <v>0</v>
      </c>
      <c r="J210" s="142">
        <v>50.505123719522622</v>
      </c>
      <c r="K210" s="138">
        <v>0</v>
      </c>
      <c r="L210" s="138">
        <v>0</v>
      </c>
      <c r="M210" s="138">
        <v>0</v>
      </c>
      <c r="N210" s="138">
        <v>6.2207724863918665</v>
      </c>
      <c r="O210" s="138">
        <v>0</v>
      </c>
      <c r="P210" s="138">
        <v>0</v>
      </c>
      <c r="R210" s="142">
        <v>50.505123719522622</v>
      </c>
      <c r="S210" s="138">
        <v>0</v>
      </c>
      <c r="T210" s="138">
        <v>0</v>
      </c>
      <c r="U210" s="138">
        <v>0</v>
      </c>
      <c r="V210" s="138">
        <v>6.2207724863918665</v>
      </c>
      <c r="W210" s="138">
        <v>0</v>
      </c>
      <c r="X210" s="138">
        <v>0</v>
      </c>
      <c r="Z210" s="142">
        <v>50.505123719522622</v>
      </c>
      <c r="AA210" s="138">
        <v>0</v>
      </c>
      <c r="AB210" s="138">
        <v>0</v>
      </c>
      <c r="AC210" s="138">
        <v>0</v>
      </c>
      <c r="AD210" s="138">
        <v>6.2207724863918665</v>
      </c>
      <c r="AE210" s="138">
        <v>0</v>
      </c>
      <c r="AF210" s="138">
        <v>0</v>
      </c>
      <c r="AH210" s="142">
        <v>50.505123719522622</v>
      </c>
      <c r="AI210" s="138">
        <v>0</v>
      </c>
      <c r="AJ210" s="138">
        <v>0</v>
      </c>
      <c r="AK210" s="138">
        <v>0</v>
      </c>
      <c r="AL210" s="138">
        <v>6.2207724863918665</v>
      </c>
      <c r="AM210" s="138">
        <v>0</v>
      </c>
      <c r="AN210" s="138">
        <v>0</v>
      </c>
      <c r="AP210" s="142">
        <v>50.505123719522622</v>
      </c>
      <c r="AQ210" s="138">
        <v>0</v>
      </c>
      <c r="AR210" s="138">
        <v>0</v>
      </c>
      <c r="AS210" s="138">
        <v>0</v>
      </c>
      <c r="AT210" s="138">
        <v>6.2207724863918665</v>
      </c>
      <c r="AU210" s="138">
        <v>0</v>
      </c>
      <c r="AV210" s="138">
        <v>0</v>
      </c>
      <c r="AW210" s="133"/>
      <c r="AX210" s="142">
        <v>50.505123719522622</v>
      </c>
      <c r="AY210" s="138">
        <v>0</v>
      </c>
      <c r="AZ210" s="138">
        <v>0</v>
      </c>
      <c r="BA210" s="138">
        <v>0</v>
      </c>
      <c r="BB210" s="138">
        <v>6.2207724863918665</v>
      </c>
      <c r="BC210" s="138">
        <v>0</v>
      </c>
      <c r="BD210" s="139">
        <v>0</v>
      </c>
      <c r="BE210" s="133"/>
      <c r="BF210" s="142">
        <v>50.505123719522622</v>
      </c>
      <c r="BG210" s="138">
        <v>0</v>
      </c>
      <c r="BH210" s="138">
        <v>0</v>
      </c>
      <c r="BI210" s="138">
        <v>0</v>
      </c>
      <c r="BJ210" s="138">
        <v>6.2207724863918665</v>
      </c>
      <c r="BK210" s="138">
        <v>0</v>
      </c>
      <c r="BL210" s="139">
        <v>0</v>
      </c>
      <c r="BM210" s="133"/>
      <c r="BN210" s="142">
        <v>50.505123719522622</v>
      </c>
      <c r="BO210" s="138">
        <v>0</v>
      </c>
      <c r="BP210" s="138">
        <v>0</v>
      </c>
      <c r="BQ210" s="138">
        <v>0</v>
      </c>
      <c r="BR210" s="138">
        <v>6.2207724863918665</v>
      </c>
      <c r="BS210" s="138">
        <v>0</v>
      </c>
      <c r="BT210" s="139">
        <v>0</v>
      </c>
    </row>
    <row r="211" spans="1:72" ht="13.5" hidden="1" outlineLevel="1" thickBot="1" x14ac:dyDescent="0.25">
      <c r="B211" s="143">
        <f>SUM(B205:B210)</f>
        <v>98.418171112111622</v>
      </c>
      <c r="C211" s="133"/>
      <c r="D211" s="133"/>
      <c r="E211" s="133"/>
      <c r="F211" s="133"/>
      <c r="G211" s="133"/>
      <c r="H211" s="133"/>
      <c r="J211" s="143">
        <f>SUM(J205:J210)</f>
        <v>98.418171112111651</v>
      </c>
      <c r="K211" s="133"/>
      <c r="L211" s="133"/>
      <c r="M211" s="133"/>
      <c r="N211" s="133"/>
      <c r="O211" s="133"/>
      <c r="P211" s="133"/>
      <c r="R211" s="143">
        <f>SUM(R205:R210)</f>
        <v>98.418171112111622</v>
      </c>
      <c r="S211" s="133"/>
      <c r="T211" s="133"/>
      <c r="U211" s="133"/>
      <c r="V211" s="133"/>
      <c r="W211" s="133"/>
      <c r="X211" s="133"/>
      <c r="Z211" s="143">
        <f>SUM(Z205:Z210)</f>
        <v>98.418171112111622</v>
      </c>
      <c r="AA211" s="133"/>
      <c r="AB211" s="133"/>
      <c r="AC211" s="133"/>
      <c r="AD211" s="133"/>
      <c r="AE211" s="133"/>
      <c r="AF211" s="133"/>
      <c r="AH211" s="143">
        <f>SUM(AH205:AH210)</f>
        <v>98.418171112111608</v>
      </c>
      <c r="AI211" s="133"/>
      <c r="AJ211" s="133"/>
      <c r="AK211" s="133"/>
      <c r="AL211" s="133"/>
      <c r="AM211" s="133"/>
      <c r="AN211" s="133"/>
      <c r="AP211" s="143">
        <f>SUM(AP205:AP210)</f>
        <v>98.418171112111622</v>
      </c>
      <c r="AQ211" s="133"/>
      <c r="AR211" s="133"/>
      <c r="AS211" s="133"/>
      <c r="AT211" s="133"/>
      <c r="AU211" s="133"/>
      <c r="AV211" s="133"/>
      <c r="AW211" s="146"/>
      <c r="AX211" s="145">
        <f>SUM(AX205:AX210)</f>
        <v>98.418171112111651</v>
      </c>
      <c r="AY211" s="146"/>
      <c r="AZ211" s="146"/>
      <c r="BA211" s="146"/>
      <c r="BB211" s="146"/>
      <c r="BC211" s="146"/>
      <c r="BD211" s="147"/>
      <c r="BE211" s="146"/>
      <c r="BF211" s="145">
        <f>SUM(BF205:BF210)</f>
        <v>98.418171112111651</v>
      </c>
      <c r="BG211" s="146"/>
      <c r="BH211" s="146"/>
      <c r="BI211" s="146"/>
      <c r="BJ211" s="146"/>
      <c r="BK211" s="146"/>
      <c r="BL211" s="147"/>
      <c r="BM211" s="146"/>
      <c r="BN211" s="145">
        <f>SUM(BN205:BN210)</f>
        <v>98.418171112111594</v>
      </c>
      <c r="BO211" s="146"/>
      <c r="BP211" s="146"/>
      <c r="BQ211" s="146"/>
      <c r="BR211" s="146"/>
      <c r="BS211" s="146"/>
      <c r="BT211" s="147"/>
    </row>
    <row r="212" spans="1:72" hidden="1" outlineLevel="1" x14ac:dyDescent="0.2"/>
    <row r="213" spans="1:72" ht="14.25" collapsed="1" x14ac:dyDescent="0.25">
      <c r="A213"/>
    </row>
    <row r="215" spans="1:72" customFormat="1" ht="14.25" x14ac:dyDescent="0.25"/>
    <row r="216" spans="1:72" hidden="1" outlineLevel="1" x14ac:dyDescent="0.2"/>
    <row r="217" spans="1:72" hidden="1" outlineLevel="1" x14ac:dyDescent="0.2">
      <c r="V217" s="1" t="s">
        <v>147</v>
      </c>
    </row>
    <row r="218" spans="1:72" hidden="1" outlineLevel="1" x14ac:dyDescent="0.2">
      <c r="A218" s="148" t="s">
        <v>73</v>
      </c>
      <c r="B218" s="149"/>
      <c r="C218" s="150" t="s">
        <v>74</v>
      </c>
      <c r="D218" s="150" t="s">
        <v>75</v>
      </c>
      <c r="E218" s="150" t="s">
        <v>76</v>
      </c>
      <c r="F218" s="150" t="s">
        <v>77</v>
      </c>
      <c r="G218" s="150" t="s">
        <v>78</v>
      </c>
      <c r="H218" s="150" t="s">
        <v>79</v>
      </c>
      <c r="I218" s="150" t="s">
        <v>80</v>
      </c>
      <c r="J218" s="150" t="s">
        <v>81</v>
      </c>
      <c r="K218" s="150" t="s">
        <v>3</v>
      </c>
      <c r="L218" s="150" t="s">
        <v>82</v>
      </c>
      <c r="M218" s="150" t="s">
        <v>83</v>
      </c>
      <c r="N218" s="150" t="s">
        <v>84</v>
      </c>
      <c r="O218" s="150" t="s">
        <v>85</v>
      </c>
      <c r="P218" s="150" t="s">
        <v>86</v>
      </c>
      <c r="Q218" s="150" t="s">
        <v>87</v>
      </c>
      <c r="R218" s="150" t="s">
        <v>88</v>
      </c>
      <c r="S218" s="150" t="s">
        <v>89</v>
      </c>
      <c r="T218" s="150" t="s">
        <v>90</v>
      </c>
      <c r="U218" s="150" t="s">
        <v>91</v>
      </c>
      <c r="V218" s="151" t="s">
        <v>148</v>
      </c>
    </row>
    <row r="219" spans="1:72" hidden="1" outlineLevel="1" x14ac:dyDescent="0.2">
      <c r="A219" s="152" t="s">
        <v>92</v>
      </c>
      <c r="B219" s="153">
        <f>mCa+mO</f>
        <v>56.077400000000004</v>
      </c>
      <c r="C219" s="133">
        <f t="shared" ref="C219:V224" si="143">C235*$B219/C$241</f>
        <v>0.75685479321304083</v>
      </c>
      <c r="D219" s="133">
        <f>D235*$B219/D$241</f>
        <v>0.42615545963501011</v>
      </c>
      <c r="E219" s="133">
        <f t="shared" si="143"/>
        <v>0.41692537379616368</v>
      </c>
      <c r="F219" s="133">
        <f>F235*$B219/F$241</f>
        <v>0.36962820238752458</v>
      </c>
      <c r="G219" s="133">
        <f t="shared" si="143"/>
        <v>0.26974658269181312</v>
      </c>
      <c r="H219" s="133">
        <f t="shared" si="143"/>
        <v>0.28004746800509844</v>
      </c>
      <c r="I219" s="133">
        <f t="shared" si="143"/>
        <v>0.26810599086468712</v>
      </c>
      <c r="J219" s="133">
        <f t="shared" si="143"/>
        <v>8.8921476117117551E-2</v>
      </c>
      <c r="K219" s="133">
        <f t="shared" si="143"/>
        <v>0</v>
      </c>
      <c r="L219" s="133">
        <f t="shared" si="143"/>
        <v>0</v>
      </c>
      <c r="M219" s="133">
        <f t="shared" si="143"/>
        <v>0.44472323706657291</v>
      </c>
      <c r="N219" s="133">
        <f t="shared" si="143"/>
        <v>0.40021730494895524</v>
      </c>
      <c r="O219" s="133">
        <f t="shared" si="143"/>
        <v>0.34771498375494458</v>
      </c>
      <c r="P219" s="133">
        <f t="shared" si="143"/>
        <v>0.29594963069652797</v>
      </c>
      <c r="Q219" s="133">
        <f t="shared" si="143"/>
        <v>0.33182231315971239</v>
      </c>
      <c r="R219" s="133">
        <f t="shared" si="143"/>
        <v>0.27024452567298896</v>
      </c>
      <c r="S219" s="133">
        <f t="shared" si="143"/>
        <v>0.13403810838353239</v>
      </c>
      <c r="T219" s="133">
        <f t="shared" si="143"/>
        <v>0</v>
      </c>
      <c r="U219" s="133">
        <f t="shared" si="143"/>
        <v>0</v>
      </c>
      <c r="V219" s="154">
        <f t="shared" si="143"/>
        <v>9.0066857826695823E-2</v>
      </c>
    </row>
    <row r="220" spans="1:72" hidden="1" outlineLevel="1" x14ac:dyDescent="0.2">
      <c r="A220" s="152" t="s">
        <v>93</v>
      </c>
      <c r="B220" s="153">
        <f>mSi+2*mO</f>
        <v>60.084299999999999</v>
      </c>
      <c r="C220" s="133">
        <f t="shared" si="143"/>
        <v>0</v>
      </c>
      <c r="D220" s="133">
        <f t="shared" si="143"/>
        <v>0.26091746135925231</v>
      </c>
      <c r="E220" s="133">
        <f t="shared" si="143"/>
        <v>0.25526625940759262</v>
      </c>
      <c r="F220" s="133">
        <f t="shared" si="143"/>
        <v>0.30464558189920393</v>
      </c>
      <c r="G220" s="133">
        <f t="shared" si="143"/>
        <v>0.43350951351747569</v>
      </c>
      <c r="H220" s="133">
        <f t="shared" si="143"/>
        <v>0.45006405792133763</v>
      </c>
      <c r="I220" s="133">
        <f t="shared" si="143"/>
        <v>0.1436314877910809</v>
      </c>
      <c r="J220" s="133">
        <f t="shared" si="143"/>
        <v>0.57165110873154523</v>
      </c>
      <c r="K220" s="133">
        <f t="shared" si="143"/>
        <v>0.99999999999999989</v>
      </c>
      <c r="L220" s="133">
        <f t="shared" si="143"/>
        <v>0</v>
      </c>
      <c r="M220" s="133">
        <f t="shared" si="143"/>
        <v>0</v>
      </c>
      <c r="N220" s="133">
        <f t="shared" si="143"/>
        <v>0</v>
      </c>
      <c r="O220" s="133">
        <f t="shared" si="143"/>
        <v>0</v>
      </c>
      <c r="P220" s="133">
        <f t="shared" si="143"/>
        <v>0</v>
      </c>
      <c r="Q220" s="133">
        <f t="shared" si="143"/>
        <v>0</v>
      </c>
      <c r="R220" s="133">
        <f t="shared" si="143"/>
        <v>0</v>
      </c>
      <c r="S220" s="133">
        <f t="shared" si="143"/>
        <v>0</v>
      </c>
      <c r="T220" s="133">
        <f t="shared" si="143"/>
        <v>0</v>
      </c>
      <c r="U220" s="133">
        <f t="shared" si="143"/>
        <v>0</v>
      </c>
      <c r="V220" s="154">
        <f t="shared" si="143"/>
        <v>9.6502407488873232E-2</v>
      </c>
    </row>
    <row r="221" spans="1:72" hidden="1" outlineLevel="1" x14ac:dyDescent="0.2">
      <c r="A221" s="152" t="s">
        <v>94</v>
      </c>
      <c r="B221" s="153">
        <f>2*mAl+3*mO</f>
        <v>101.96127799999999</v>
      </c>
      <c r="C221" s="133">
        <f t="shared" si="143"/>
        <v>0</v>
      </c>
      <c r="D221" s="133">
        <f t="shared" si="143"/>
        <v>0</v>
      </c>
      <c r="E221" s="133">
        <f>E237*$B221/E$241</f>
        <v>2.1658964188213614E-2</v>
      </c>
      <c r="F221" s="133">
        <f t="shared" si="143"/>
        <v>5.169745319076114E-2</v>
      </c>
      <c r="G221" s="133">
        <f t="shared" si="143"/>
        <v>3.6782640409724413E-2</v>
      </c>
      <c r="H221" s="133">
        <f t="shared" si="143"/>
        <v>0</v>
      </c>
      <c r="I221" s="133">
        <f t="shared" si="143"/>
        <v>0.24373838184384281</v>
      </c>
      <c r="J221" s="133">
        <f t="shared" si="143"/>
        <v>0.16167916748186939</v>
      </c>
      <c r="K221" s="133">
        <f t="shared" si="143"/>
        <v>0</v>
      </c>
      <c r="L221" s="133">
        <f t="shared" si="143"/>
        <v>0.65356811475743049</v>
      </c>
      <c r="M221" s="133">
        <f t="shared" si="143"/>
        <v>0.26953549681692768</v>
      </c>
      <c r="N221" s="133">
        <f t="shared" si="143"/>
        <v>0.1819211834460549</v>
      </c>
      <c r="O221" s="133">
        <f t="shared" si="143"/>
        <v>0.18063535716911364</v>
      </c>
      <c r="P221" s="133">
        <f t="shared" si="143"/>
        <v>0.17936757986548366</v>
      </c>
      <c r="Q221" s="133">
        <f t="shared" si="143"/>
        <v>0.17237923257436782</v>
      </c>
      <c r="R221" s="133">
        <f t="shared" si="143"/>
        <v>0.16378836637767183</v>
      </c>
      <c r="S221" s="133">
        <f t="shared" si="143"/>
        <v>8.1237104617828668E-2</v>
      </c>
      <c r="T221" s="133">
        <f t="shared" si="143"/>
        <v>0</v>
      </c>
      <c r="U221" s="133">
        <f t="shared" si="143"/>
        <v>0</v>
      </c>
      <c r="V221" s="154">
        <f t="shared" si="143"/>
        <v>0</v>
      </c>
    </row>
    <row r="222" spans="1:72" hidden="1" outlineLevel="1" x14ac:dyDescent="0.2">
      <c r="A222" s="152" t="s">
        <v>95</v>
      </c>
      <c r="B222" s="153">
        <f>mCa+mC+3*mO</f>
        <v>100.0872</v>
      </c>
      <c r="C222" s="133">
        <f t="shared" si="143"/>
        <v>0</v>
      </c>
      <c r="D222" s="133">
        <f t="shared" si="143"/>
        <v>0</v>
      </c>
      <c r="E222" s="133">
        <f t="shared" si="143"/>
        <v>0</v>
      </c>
      <c r="F222" s="133">
        <f t="shared" si="143"/>
        <v>0</v>
      </c>
      <c r="G222" s="133">
        <f t="shared" si="143"/>
        <v>0</v>
      </c>
      <c r="H222" s="133">
        <f t="shared" si="143"/>
        <v>0</v>
      </c>
      <c r="I222" s="133">
        <f t="shared" si="143"/>
        <v>0</v>
      </c>
      <c r="J222" s="133">
        <f t="shared" si="143"/>
        <v>0</v>
      </c>
      <c r="K222" s="133">
        <f t="shared" si="143"/>
        <v>0</v>
      </c>
      <c r="L222" s="133">
        <f t="shared" si="143"/>
        <v>0</v>
      </c>
      <c r="M222" s="133">
        <f t="shared" si="143"/>
        <v>0</v>
      </c>
      <c r="N222" s="133">
        <f t="shared" si="143"/>
        <v>0</v>
      </c>
      <c r="O222" s="133">
        <f t="shared" si="143"/>
        <v>8.8657613334625476E-2</v>
      </c>
      <c r="P222" s="133">
        <f t="shared" si="143"/>
        <v>0.17607075148187762</v>
      </c>
      <c r="Q222" s="133">
        <f t="shared" si="143"/>
        <v>0</v>
      </c>
      <c r="R222" s="133">
        <f t="shared" si="143"/>
        <v>0</v>
      </c>
      <c r="S222" s="133">
        <f t="shared" si="143"/>
        <v>0</v>
      </c>
      <c r="T222" s="133">
        <f t="shared" si="143"/>
        <v>0</v>
      </c>
      <c r="U222" s="133">
        <f t="shared" si="143"/>
        <v>1</v>
      </c>
      <c r="V222" s="154">
        <f t="shared" si="143"/>
        <v>0.16075173978593996</v>
      </c>
    </row>
    <row r="223" spans="1:72" hidden="1" outlineLevel="1" x14ac:dyDescent="0.2">
      <c r="A223" s="152" t="s">
        <v>96</v>
      </c>
      <c r="B223" s="153">
        <f>mCa+mS+4*mO</f>
        <v>136.14160000000001</v>
      </c>
      <c r="C223" s="133">
        <f t="shared" si="143"/>
        <v>0</v>
      </c>
      <c r="D223" s="133">
        <f t="shared" si="143"/>
        <v>0</v>
      </c>
      <c r="E223" s="133">
        <f t="shared" si="143"/>
        <v>0</v>
      </c>
      <c r="F223" s="133">
        <f t="shared" si="143"/>
        <v>0</v>
      </c>
      <c r="G223" s="133">
        <f t="shared" si="143"/>
        <v>0</v>
      </c>
      <c r="H223" s="133">
        <f t="shared" si="143"/>
        <v>0</v>
      </c>
      <c r="I223" s="133">
        <f t="shared" si="143"/>
        <v>0</v>
      </c>
      <c r="J223" s="133">
        <f t="shared" si="143"/>
        <v>0</v>
      </c>
      <c r="K223" s="133">
        <f t="shared" si="143"/>
        <v>0</v>
      </c>
      <c r="L223" s="133">
        <f t="shared" si="143"/>
        <v>0</v>
      </c>
      <c r="M223" s="133">
        <f t="shared" si="143"/>
        <v>0</v>
      </c>
      <c r="N223" s="133">
        <f t="shared" si="143"/>
        <v>0</v>
      </c>
      <c r="O223" s="133">
        <f t="shared" si="143"/>
        <v>0</v>
      </c>
      <c r="P223" s="133">
        <f t="shared" si="143"/>
        <v>0</v>
      </c>
      <c r="Q223" s="133">
        <f t="shared" si="143"/>
        <v>0.1150828284510447</v>
      </c>
      <c r="R223" s="133">
        <f t="shared" si="143"/>
        <v>0.21869488787736116</v>
      </c>
      <c r="S223" s="133">
        <f t="shared" si="143"/>
        <v>0.32541028179458237</v>
      </c>
      <c r="T223" s="133">
        <f>T239*$B223/T$241</f>
        <v>0.79072946520505982</v>
      </c>
      <c r="U223" s="133">
        <f t="shared" si="143"/>
        <v>0</v>
      </c>
      <c r="V223" s="154">
        <f t="shared" si="143"/>
        <v>0.21865931964568422</v>
      </c>
    </row>
    <row r="224" spans="1:72" hidden="1" outlineLevel="1" x14ac:dyDescent="0.2">
      <c r="A224" s="152" t="s">
        <v>97</v>
      </c>
      <c r="B224" s="153">
        <f>2*mH+mO</f>
        <v>18.015280000000001</v>
      </c>
      <c r="C224" s="133">
        <f t="shared" si="143"/>
        <v>0.24314520678695925</v>
      </c>
      <c r="D224" s="133">
        <f t="shared" si="143"/>
        <v>0.31292707900573768</v>
      </c>
      <c r="E224" s="133">
        <f t="shared" si="143"/>
        <v>0.30614940260803009</v>
      </c>
      <c r="F224" s="133">
        <f t="shared" si="143"/>
        <v>0.27402876252251041</v>
      </c>
      <c r="G224" s="133">
        <f t="shared" si="143"/>
        <v>0.25996126338098668</v>
      </c>
      <c r="H224" s="133">
        <f t="shared" si="143"/>
        <v>0.26988847407356381</v>
      </c>
      <c r="I224" s="133">
        <f t="shared" si="143"/>
        <v>0.34452413950038913</v>
      </c>
      <c r="J224" s="133">
        <f t="shared" si="143"/>
        <v>0.17774824766946792</v>
      </c>
      <c r="K224" s="133">
        <f t="shared" si="143"/>
        <v>0</v>
      </c>
      <c r="L224" s="133">
        <f t="shared" si="143"/>
        <v>0.34643188524256951</v>
      </c>
      <c r="M224" s="133">
        <f t="shared" si="143"/>
        <v>0.2857412661164993</v>
      </c>
      <c r="N224" s="133">
        <f t="shared" si="143"/>
        <v>0.41786151160498969</v>
      </c>
      <c r="O224" s="133">
        <f t="shared" si="143"/>
        <v>0.3829920457413164</v>
      </c>
      <c r="P224" s="133">
        <f t="shared" si="143"/>
        <v>0.34861203795611073</v>
      </c>
      <c r="Q224" s="133">
        <f t="shared" si="143"/>
        <v>0.38071562581487517</v>
      </c>
      <c r="R224" s="133">
        <f t="shared" si="143"/>
        <v>0.34727222007197794</v>
      </c>
      <c r="S224" s="133">
        <f t="shared" si="143"/>
        <v>0.45931450520405653</v>
      </c>
      <c r="T224" s="133">
        <f t="shared" si="143"/>
        <v>0.20927053479494012</v>
      </c>
      <c r="U224" s="133">
        <f t="shared" si="143"/>
        <v>0</v>
      </c>
      <c r="V224" s="154">
        <f t="shared" si="143"/>
        <v>0.43401967525280682</v>
      </c>
    </row>
    <row r="225" spans="1:22" hidden="1" outlineLevel="1" x14ac:dyDescent="0.2">
      <c r="A225" s="8"/>
      <c r="B225" s="16"/>
      <c r="C225" s="155">
        <f t="shared" ref="C225:U225" si="144">SUM(C219:C224)</f>
        <v>1</v>
      </c>
      <c r="D225" s="155">
        <f t="shared" si="144"/>
        <v>1</v>
      </c>
      <c r="E225" s="155">
        <f t="shared" si="144"/>
        <v>1</v>
      </c>
      <c r="F225" s="155">
        <f t="shared" si="144"/>
        <v>1</v>
      </c>
      <c r="G225" s="155">
        <f>SUM(G219:G224)</f>
        <v>1</v>
      </c>
      <c r="H225" s="155">
        <f t="shared" si="144"/>
        <v>1</v>
      </c>
      <c r="I225" s="155">
        <f t="shared" si="144"/>
        <v>1</v>
      </c>
      <c r="J225" s="155">
        <f t="shared" si="144"/>
        <v>1</v>
      </c>
      <c r="K225" s="155">
        <f t="shared" si="144"/>
        <v>0.99999999999999989</v>
      </c>
      <c r="L225" s="155">
        <f t="shared" si="144"/>
        <v>1</v>
      </c>
      <c r="M225" s="155">
        <f t="shared" si="144"/>
        <v>0.99999999999999989</v>
      </c>
      <c r="N225" s="155">
        <f t="shared" si="144"/>
        <v>0.99999999999999978</v>
      </c>
      <c r="O225" s="155">
        <f t="shared" si="144"/>
        <v>1</v>
      </c>
      <c r="P225" s="155">
        <f t="shared" si="144"/>
        <v>0.99999999999999989</v>
      </c>
      <c r="Q225" s="155">
        <f t="shared" si="144"/>
        <v>1</v>
      </c>
      <c r="R225" s="155">
        <f t="shared" si="144"/>
        <v>0.99999999999999978</v>
      </c>
      <c r="S225" s="155">
        <f t="shared" si="144"/>
        <v>1</v>
      </c>
      <c r="T225" s="155">
        <f t="shared" si="144"/>
        <v>1</v>
      </c>
      <c r="U225" s="155">
        <f t="shared" si="144"/>
        <v>1</v>
      </c>
      <c r="V225" s="156">
        <f>SUM(V219:V224)</f>
        <v>1</v>
      </c>
    </row>
    <row r="226" spans="1:22" hidden="1" outlineLevel="1" x14ac:dyDescent="0.2">
      <c r="A226" s="157" t="s">
        <v>98</v>
      </c>
      <c r="B226" s="16"/>
      <c r="C226" s="155" t="s">
        <v>74</v>
      </c>
      <c r="D226" s="155" t="s">
        <v>99</v>
      </c>
      <c r="E226" s="155" t="s">
        <v>99</v>
      </c>
      <c r="F226" s="37" t="s">
        <v>100</v>
      </c>
      <c r="G226" s="37" t="s">
        <v>101</v>
      </c>
      <c r="H226" s="37" t="s">
        <v>101</v>
      </c>
      <c r="I226" s="37" t="s">
        <v>102</v>
      </c>
      <c r="J226" s="37" t="s">
        <v>103</v>
      </c>
      <c r="K226" s="37" t="s">
        <v>3</v>
      </c>
      <c r="L226" s="37" t="s">
        <v>104</v>
      </c>
      <c r="M226" s="158" t="s">
        <v>105</v>
      </c>
      <c r="N226" s="16" t="s">
        <v>48</v>
      </c>
      <c r="O226" s="16" t="s">
        <v>106</v>
      </c>
      <c r="P226" s="158" t="s">
        <v>107</v>
      </c>
      <c r="Q226" s="158" t="s">
        <v>108</v>
      </c>
      <c r="R226" s="158" t="s">
        <v>108</v>
      </c>
      <c r="S226" s="158" t="s">
        <v>89</v>
      </c>
      <c r="T226" s="16" t="s">
        <v>90</v>
      </c>
      <c r="U226" s="16" t="s">
        <v>91</v>
      </c>
      <c r="V226" s="159" t="s">
        <v>91</v>
      </c>
    </row>
    <row r="227" spans="1:22" hidden="1" outlineLevel="1" x14ac:dyDescent="0.2">
      <c r="A227" s="8" t="s">
        <v>92</v>
      </c>
      <c r="B227" s="38">
        <f>mCa+mO</f>
        <v>56.077400000000004</v>
      </c>
      <c r="C227" s="155">
        <v>0.75680000000000003</v>
      </c>
      <c r="D227" s="158"/>
      <c r="E227" s="158">
        <v>0.40820000000000001</v>
      </c>
      <c r="F227" s="16">
        <v>0.34450831132515147</v>
      </c>
      <c r="G227" s="16">
        <v>0.33460000000000001</v>
      </c>
      <c r="H227" s="16"/>
      <c r="I227" s="16">
        <v>0.26790000000000003</v>
      </c>
      <c r="J227" s="16">
        <v>7.4999999999999997E-2</v>
      </c>
      <c r="K227" s="158"/>
      <c r="L227" s="16">
        <v>0</v>
      </c>
      <c r="M227" s="158">
        <v>0.44440000000000002</v>
      </c>
      <c r="N227" s="16">
        <v>0.4</v>
      </c>
      <c r="O227" s="16">
        <v>0.34210000000000002</v>
      </c>
      <c r="P227" s="158">
        <v>0.28670000000000001</v>
      </c>
      <c r="Q227" s="158"/>
      <c r="R227" s="158">
        <v>0.27</v>
      </c>
      <c r="S227" s="158">
        <v>0.13400000000000001</v>
      </c>
      <c r="T227" s="16">
        <v>0</v>
      </c>
      <c r="U227" s="16">
        <v>0</v>
      </c>
      <c r="V227" s="159">
        <v>0</v>
      </c>
    </row>
    <row r="228" spans="1:22" hidden="1" outlineLevel="1" x14ac:dyDescent="0.2">
      <c r="A228" s="8" t="s">
        <v>93</v>
      </c>
      <c r="B228" s="38">
        <f>mSi+2*mO</f>
        <v>60.084299999999999</v>
      </c>
      <c r="C228" s="155">
        <v>0</v>
      </c>
      <c r="D228" s="158"/>
      <c r="E228" s="158">
        <v>0.24990000000000001</v>
      </c>
      <c r="F228" s="16">
        <v>0.33556004349852414</v>
      </c>
      <c r="G228" s="16">
        <v>0.41139999999999999</v>
      </c>
      <c r="H228" s="16"/>
      <c r="I228" s="16">
        <v>0.14349999999999999</v>
      </c>
      <c r="J228" s="16">
        <v>0.61799999999999999</v>
      </c>
      <c r="K228" s="158">
        <v>1</v>
      </c>
      <c r="L228" s="16">
        <v>0</v>
      </c>
      <c r="M228" s="158">
        <v>0</v>
      </c>
      <c r="N228" s="16">
        <v>0</v>
      </c>
      <c r="O228" s="16">
        <v>0</v>
      </c>
      <c r="P228" s="158">
        <v>0</v>
      </c>
      <c r="Q228" s="158"/>
      <c r="R228" s="158">
        <v>0</v>
      </c>
      <c r="S228" s="158">
        <v>0</v>
      </c>
      <c r="T228" s="16">
        <v>0</v>
      </c>
      <c r="U228" s="16">
        <v>0</v>
      </c>
      <c r="V228" s="159">
        <v>0</v>
      </c>
    </row>
    <row r="229" spans="1:22" hidden="1" outlineLevel="1" x14ac:dyDescent="0.2">
      <c r="A229" s="8" t="s">
        <v>94</v>
      </c>
      <c r="B229" s="38">
        <f>2*mAl+3*mO</f>
        <v>101.96127799999999</v>
      </c>
      <c r="C229" s="155">
        <v>0</v>
      </c>
      <c r="D229" s="158"/>
      <c r="E229" s="158">
        <v>1.7000000000000001E-2</v>
      </c>
      <c r="F229" s="16">
        <v>3.9931645176324373E-2</v>
      </c>
      <c r="G229" s="16">
        <v>2.8000000000000001E-2</v>
      </c>
      <c r="H229" s="16"/>
      <c r="I229" s="16">
        <v>0.24399999999999999</v>
      </c>
      <c r="J229" s="16">
        <v>0.13700000000000001</v>
      </c>
      <c r="K229" s="158"/>
      <c r="L229" s="16">
        <v>0.65400000000000003</v>
      </c>
      <c r="M229" s="158">
        <v>0.26979999999999998</v>
      </c>
      <c r="N229" s="16">
        <v>0.18210000000000001</v>
      </c>
      <c r="O229" s="16">
        <v>0.17799999999999999</v>
      </c>
      <c r="P229" s="158">
        <v>0.1741</v>
      </c>
      <c r="Q229" s="158"/>
      <c r="R229" s="158">
        <v>0.16400000000000001</v>
      </c>
      <c r="S229" s="158">
        <v>8.1299999999999997E-2</v>
      </c>
      <c r="T229" s="16">
        <v>0</v>
      </c>
      <c r="U229" s="16">
        <v>0</v>
      </c>
      <c r="V229" s="159">
        <v>0</v>
      </c>
    </row>
    <row r="230" spans="1:22" hidden="1" outlineLevel="1" x14ac:dyDescent="0.2">
      <c r="A230" s="8" t="s">
        <v>95</v>
      </c>
      <c r="B230" s="38">
        <f>mCa+mC+3*mO</f>
        <v>100.0872</v>
      </c>
      <c r="C230" s="155">
        <v>0</v>
      </c>
      <c r="D230" s="158"/>
      <c r="E230" s="158">
        <v>0</v>
      </c>
      <c r="F230" s="16">
        <v>0</v>
      </c>
      <c r="G230" s="16">
        <v>0</v>
      </c>
      <c r="H230" s="16"/>
      <c r="I230" s="16">
        <v>0</v>
      </c>
      <c r="J230" s="16">
        <v>0</v>
      </c>
      <c r="K230" s="158"/>
      <c r="L230" s="16">
        <v>0</v>
      </c>
      <c r="M230" s="158">
        <v>0</v>
      </c>
      <c r="N230" s="16">
        <v>0</v>
      </c>
      <c r="O230" s="16">
        <v>8.72E-2</v>
      </c>
      <c r="P230" s="158">
        <v>0.1706</v>
      </c>
      <c r="Q230" s="158"/>
      <c r="R230" s="158">
        <v>0</v>
      </c>
      <c r="S230" s="158">
        <v>0</v>
      </c>
      <c r="T230" s="16">
        <v>0</v>
      </c>
      <c r="U230" s="16">
        <v>1</v>
      </c>
      <c r="V230" s="159">
        <v>1</v>
      </c>
    </row>
    <row r="231" spans="1:22" hidden="1" outlineLevel="1" x14ac:dyDescent="0.2">
      <c r="A231" s="8" t="s">
        <v>96</v>
      </c>
      <c r="B231" s="38">
        <f>mCa+mS+4*mO</f>
        <v>136.14160000000001</v>
      </c>
      <c r="C231" s="155">
        <v>0</v>
      </c>
      <c r="D231" s="158"/>
      <c r="E231" s="158">
        <v>0</v>
      </c>
      <c r="F231" s="16">
        <v>0</v>
      </c>
      <c r="G231" s="16">
        <v>0</v>
      </c>
      <c r="H231" s="16"/>
      <c r="I231" s="16">
        <v>0</v>
      </c>
      <c r="J231" s="16">
        <v>0</v>
      </c>
      <c r="K231" s="158"/>
      <c r="L231" s="16">
        <v>0</v>
      </c>
      <c r="M231" s="158">
        <v>0</v>
      </c>
      <c r="N231" s="16">
        <v>0</v>
      </c>
      <c r="O231" s="16">
        <v>0</v>
      </c>
      <c r="P231" s="158">
        <v>0</v>
      </c>
      <c r="Q231" s="158"/>
      <c r="R231" s="158">
        <v>0.21859999999999999</v>
      </c>
      <c r="S231" s="158">
        <v>0.32540000000000002</v>
      </c>
      <c r="T231" s="25">
        <v>0.79069767441860461</v>
      </c>
      <c r="U231" s="37">
        <v>0</v>
      </c>
      <c r="V231" s="159">
        <v>0</v>
      </c>
    </row>
    <row r="232" spans="1:22" hidden="1" outlineLevel="1" x14ac:dyDescent="0.2">
      <c r="A232" s="8" t="s">
        <v>97</v>
      </c>
      <c r="B232" s="38">
        <f>2*mH+mO</f>
        <v>18.015280000000001</v>
      </c>
      <c r="C232" s="155">
        <v>0.2432</v>
      </c>
      <c r="D232" s="158"/>
      <c r="E232" s="158">
        <v>0.32490000000000002</v>
      </c>
      <c r="F232" s="37">
        <v>0.28000000000000003</v>
      </c>
      <c r="G232" s="37">
        <v>0.22600000000000001</v>
      </c>
      <c r="H232" s="37"/>
      <c r="I232" s="37">
        <v>0.34449999999999997</v>
      </c>
      <c r="J232" s="37">
        <v>0.16900000000000001</v>
      </c>
      <c r="K232" s="158"/>
      <c r="L232" s="16">
        <v>0.34599999999999997</v>
      </c>
      <c r="M232" s="158">
        <v>0.28570000000000001</v>
      </c>
      <c r="N232" s="16">
        <v>0.41789999999999999</v>
      </c>
      <c r="O232" s="16">
        <v>0.39269999999999999</v>
      </c>
      <c r="P232" s="158">
        <v>0.36859999999999998</v>
      </c>
      <c r="Q232" s="158"/>
      <c r="R232" s="158">
        <v>0.34720000000000001</v>
      </c>
      <c r="S232" s="158">
        <v>0.45929999999999999</v>
      </c>
      <c r="T232" s="25">
        <v>0.20930232558139536</v>
      </c>
      <c r="U232" s="37">
        <v>0</v>
      </c>
      <c r="V232" s="159">
        <v>0</v>
      </c>
    </row>
    <row r="233" spans="1:22" hidden="1" outlineLevel="1" x14ac:dyDescent="0.2">
      <c r="A233" s="8"/>
      <c r="B233" s="16"/>
      <c r="C233" s="155">
        <f>SUM(C227:C232)</f>
        <v>1</v>
      </c>
      <c r="D233" s="155"/>
      <c r="E233" s="155">
        <f t="shared" ref="E233:U233" si="145">SUM(E227:E232)</f>
        <v>1</v>
      </c>
      <c r="F233" s="155">
        <f t="shared" si="145"/>
        <v>1</v>
      </c>
      <c r="G233" s="155">
        <f t="shared" si="145"/>
        <v>1</v>
      </c>
      <c r="H233" s="155">
        <f t="shared" si="145"/>
        <v>0</v>
      </c>
      <c r="I233" s="155">
        <f t="shared" si="145"/>
        <v>0.99990000000000001</v>
      </c>
      <c r="J233" s="155">
        <f t="shared" si="145"/>
        <v>0.999</v>
      </c>
      <c r="K233" s="155">
        <f t="shared" si="145"/>
        <v>1</v>
      </c>
      <c r="L233" s="155">
        <f t="shared" si="145"/>
        <v>1</v>
      </c>
      <c r="M233" s="155">
        <f t="shared" si="145"/>
        <v>0.99990000000000001</v>
      </c>
      <c r="N233" s="155">
        <f t="shared" si="145"/>
        <v>1</v>
      </c>
      <c r="O233" s="155">
        <f t="shared" si="145"/>
        <v>1</v>
      </c>
      <c r="P233" s="155">
        <f t="shared" si="145"/>
        <v>1</v>
      </c>
      <c r="Q233" s="155">
        <f t="shared" si="145"/>
        <v>0</v>
      </c>
      <c r="R233" s="155">
        <f t="shared" si="145"/>
        <v>0.99980000000000002</v>
      </c>
      <c r="S233" s="155">
        <f t="shared" si="145"/>
        <v>1</v>
      </c>
      <c r="T233" s="155">
        <f t="shared" si="145"/>
        <v>1</v>
      </c>
      <c r="U233" s="155">
        <f t="shared" si="145"/>
        <v>1</v>
      </c>
      <c r="V233" s="156">
        <f>SUM(V227:V232)</f>
        <v>1</v>
      </c>
    </row>
    <row r="234" spans="1:22" hidden="1" outlineLevel="1" x14ac:dyDescent="0.2">
      <c r="A234" s="8"/>
      <c r="B234" s="16"/>
      <c r="C234" s="160" t="str">
        <f t="shared" ref="C234:U234" si="146">C218</f>
        <v>portlandite</v>
      </c>
      <c r="D234" s="160" t="str">
        <f t="shared" si="146"/>
        <v>C1.75SH4.4</v>
      </c>
      <c r="E234" s="160" t="str">
        <f t="shared" si="146"/>
        <v>C1.75A0.05SH4.3</v>
      </c>
      <c r="F234" s="160" t="str">
        <f t="shared" si="146"/>
        <v>C1.3A0.1SH3</v>
      </c>
      <c r="G234" s="160" t="str">
        <f t="shared" si="146"/>
        <v>C0.67A0.05SH1.8</v>
      </c>
      <c r="H234" s="160" t="str">
        <f t="shared" si="146"/>
        <v>C0.67SH1.8</v>
      </c>
      <c r="I234" s="160" t="str">
        <f t="shared" si="146"/>
        <v>strätlingite</v>
      </c>
      <c r="J234" s="160" t="str">
        <f t="shared" si="146"/>
        <v>Ca-stilbite</v>
      </c>
      <c r="K234" s="160" t="str">
        <f t="shared" si="146"/>
        <v>SiO2</v>
      </c>
      <c r="L234" s="160" t="str">
        <f t="shared" si="146"/>
        <v>AH3</v>
      </c>
      <c r="M234" s="160" t="str">
        <f t="shared" si="146"/>
        <v>Hydrogarnet</v>
      </c>
      <c r="N234" s="160" t="str">
        <f t="shared" si="146"/>
        <v>OH-AFm</v>
      </c>
      <c r="O234" s="160" t="str">
        <f t="shared" si="146"/>
        <v>Hemicarbonate</v>
      </c>
      <c r="P234" s="160" t="str">
        <f t="shared" si="146"/>
        <v>monocarbonate</v>
      </c>
      <c r="Q234" s="160" t="str">
        <f t="shared" si="146"/>
        <v>Hemisulphate</v>
      </c>
      <c r="R234" s="160" t="str">
        <f t="shared" si="146"/>
        <v>monosulphate</v>
      </c>
      <c r="S234" s="160" t="str">
        <f t="shared" si="146"/>
        <v>ettringite</v>
      </c>
      <c r="T234" s="160" t="str">
        <f t="shared" si="146"/>
        <v>gypsum</v>
      </c>
      <c r="U234" s="160" t="str">
        <f t="shared" si="146"/>
        <v>calcite</v>
      </c>
      <c r="V234" s="161" t="str">
        <f>V218</f>
        <v>thaumasite</v>
      </c>
    </row>
    <row r="235" spans="1:22" hidden="1" outlineLevel="1" x14ac:dyDescent="0.2">
      <c r="A235" s="8" t="s">
        <v>92</v>
      </c>
      <c r="B235" s="38">
        <f>mCa+mO</f>
        <v>56.077400000000004</v>
      </c>
      <c r="C235" s="160">
        <v>1</v>
      </c>
      <c r="D235" s="160">
        <v>1.75</v>
      </c>
      <c r="E235" s="160">
        <v>1.75</v>
      </c>
      <c r="F235" s="160">
        <v>1.3</v>
      </c>
      <c r="G235" s="160">
        <v>0.66669999999999996</v>
      </c>
      <c r="H235" s="160">
        <v>0.66669999999999996</v>
      </c>
      <c r="I235" s="160">
        <v>2</v>
      </c>
      <c r="J235" s="162">
        <f>4.5/27</f>
        <v>0.16666666666666666</v>
      </c>
      <c r="K235" s="160">
        <f t="shared" ref="K235:K240" si="147">K227/$B227*K$241</f>
        <v>0</v>
      </c>
      <c r="L235" s="160">
        <v>0</v>
      </c>
      <c r="M235" s="160">
        <v>3</v>
      </c>
      <c r="N235" s="160">
        <v>4</v>
      </c>
      <c r="O235" s="160">
        <v>3.5</v>
      </c>
      <c r="P235" s="160">
        <v>3</v>
      </c>
      <c r="Q235" s="160">
        <v>3.5</v>
      </c>
      <c r="R235" s="160">
        <v>3</v>
      </c>
      <c r="S235" s="160">
        <v>3</v>
      </c>
      <c r="T235" s="160">
        <v>0</v>
      </c>
      <c r="U235" s="160">
        <v>0</v>
      </c>
      <c r="V235" s="161">
        <v>1</v>
      </c>
    </row>
    <row r="236" spans="1:22" hidden="1" outlineLevel="1" x14ac:dyDescent="0.2">
      <c r="A236" s="8" t="s">
        <v>93</v>
      </c>
      <c r="B236" s="38">
        <f>mSi+2*mO</f>
        <v>60.084299999999999</v>
      </c>
      <c r="C236" s="160">
        <v>0</v>
      </c>
      <c r="D236" s="160">
        <v>1</v>
      </c>
      <c r="E236" s="160">
        <v>1</v>
      </c>
      <c r="F236" s="160">
        <v>1</v>
      </c>
      <c r="G236" s="160">
        <v>1</v>
      </c>
      <c r="H236" s="160">
        <v>1</v>
      </c>
      <c r="I236" s="160">
        <v>1</v>
      </c>
      <c r="J236" s="160">
        <v>1</v>
      </c>
      <c r="K236" s="160">
        <f t="shared" si="147"/>
        <v>1</v>
      </c>
      <c r="L236" s="160">
        <v>0</v>
      </c>
      <c r="M236" s="160">
        <v>0</v>
      </c>
      <c r="N236" s="160">
        <v>0</v>
      </c>
      <c r="O236" s="160">
        <v>0</v>
      </c>
      <c r="P236" s="160">
        <v>0</v>
      </c>
      <c r="Q236" s="160">
        <v>0</v>
      </c>
      <c r="R236" s="160">
        <v>0</v>
      </c>
      <c r="S236" s="160">
        <v>0</v>
      </c>
      <c r="T236" s="160">
        <v>0</v>
      </c>
      <c r="U236" s="160">
        <v>0</v>
      </c>
      <c r="V236" s="161">
        <v>1</v>
      </c>
    </row>
    <row r="237" spans="1:22" hidden="1" outlineLevel="1" x14ac:dyDescent="0.2">
      <c r="A237" s="8" t="s">
        <v>94</v>
      </c>
      <c r="B237" s="38">
        <f>2*mAl+3*mO</f>
        <v>101.96127799999999</v>
      </c>
      <c r="C237" s="160">
        <v>0</v>
      </c>
      <c r="D237" s="160">
        <v>0</v>
      </c>
      <c r="E237" s="160">
        <v>0.05</v>
      </c>
      <c r="F237" s="160">
        <v>0.1</v>
      </c>
      <c r="G237" s="160">
        <v>0.05</v>
      </c>
      <c r="H237" s="160">
        <v>0</v>
      </c>
      <c r="I237" s="160">
        <v>1</v>
      </c>
      <c r="J237" s="160">
        <f>1/6</f>
        <v>0.16666666666666666</v>
      </c>
      <c r="K237" s="160">
        <f t="shared" si="147"/>
        <v>0</v>
      </c>
      <c r="L237" s="160">
        <v>1</v>
      </c>
      <c r="M237" s="160">
        <v>1</v>
      </c>
      <c r="N237" s="160">
        <v>1</v>
      </c>
      <c r="O237" s="160">
        <v>1</v>
      </c>
      <c r="P237" s="160">
        <v>1</v>
      </c>
      <c r="Q237" s="160">
        <v>1</v>
      </c>
      <c r="R237" s="160">
        <v>1</v>
      </c>
      <c r="S237" s="160">
        <v>1</v>
      </c>
      <c r="T237" s="160">
        <v>0</v>
      </c>
      <c r="U237" s="160">
        <v>0</v>
      </c>
      <c r="V237" s="161">
        <v>0</v>
      </c>
    </row>
    <row r="238" spans="1:22" hidden="1" outlineLevel="1" x14ac:dyDescent="0.2">
      <c r="A238" s="8" t="s">
        <v>95</v>
      </c>
      <c r="B238" s="38">
        <f>mCa+mC+3*mO</f>
        <v>100.0872</v>
      </c>
      <c r="C238" s="160">
        <v>0</v>
      </c>
      <c r="D238" s="160">
        <v>0</v>
      </c>
      <c r="E238" s="160">
        <v>0</v>
      </c>
      <c r="F238" s="160">
        <v>0</v>
      </c>
      <c r="G238" s="160">
        <v>0</v>
      </c>
      <c r="H238" s="160">
        <v>0</v>
      </c>
      <c r="I238" s="160">
        <v>0</v>
      </c>
      <c r="J238" s="160">
        <v>0</v>
      </c>
      <c r="K238" s="160">
        <f t="shared" si="147"/>
        <v>0</v>
      </c>
      <c r="L238" s="160">
        <v>0</v>
      </c>
      <c r="M238" s="160">
        <v>0</v>
      </c>
      <c r="N238" s="160">
        <v>0</v>
      </c>
      <c r="O238" s="160">
        <v>0.5</v>
      </c>
      <c r="P238" s="160">
        <v>1</v>
      </c>
      <c r="Q238" s="160">
        <v>0</v>
      </c>
      <c r="R238" s="160">
        <v>0</v>
      </c>
      <c r="S238" s="160">
        <v>0</v>
      </c>
      <c r="T238" s="160">
        <v>0</v>
      </c>
      <c r="U238" s="160">
        <v>1</v>
      </c>
      <c r="V238" s="161">
        <v>1</v>
      </c>
    </row>
    <row r="239" spans="1:22" hidden="1" outlineLevel="1" x14ac:dyDescent="0.2">
      <c r="A239" s="8" t="s">
        <v>96</v>
      </c>
      <c r="B239" s="38">
        <f>mCa+mS+4*mO</f>
        <v>136.14160000000001</v>
      </c>
      <c r="C239" s="160">
        <v>0</v>
      </c>
      <c r="D239" s="160">
        <v>0</v>
      </c>
      <c r="E239" s="160">
        <v>0</v>
      </c>
      <c r="F239" s="160">
        <v>0</v>
      </c>
      <c r="G239" s="160">
        <v>0</v>
      </c>
      <c r="H239" s="160">
        <v>0</v>
      </c>
      <c r="I239" s="160">
        <v>0</v>
      </c>
      <c r="J239" s="160">
        <v>0</v>
      </c>
      <c r="K239" s="160">
        <f t="shared" si="147"/>
        <v>0</v>
      </c>
      <c r="L239" s="160">
        <v>0</v>
      </c>
      <c r="M239" s="160">
        <v>0</v>
      </c>
      <c r="N239" s="160">
        <v>0</v>
      </c>
      <c r="O239" s="160">
        <v>0</v>
      </c>
      <c r="P239" s="160">
        <v>0</v>
      </c>
      <c r="Q239" s="160">
        <v>0.5</v>
      </c>
      <c r="R239" s="160">
        <v>1</v>
      </c>
      <c r="S239" s="160">
        <v>3</v>
      </c>
      <c r="T239" s="160">
        <v>1</v>
      </c>
      <c r="U239" s="160">
        <v>0</v>
      </c>
      <c r="V239" s="161">
        <v>1</v>
      </c>
    </row>
    <row r="240" spans="1:22" hidden="1" outlineLevel="1" x14ac:dyDescent="0.2">
      <c r="A240" s="8" t="s">
        <v>97</v>
      </c>
      <c r="B240" s="38">
        <f>2*mH+mO</f>
        <v>18.015280000000001</v>
      </c>
      <c r="C240" s="160">
        <v>1</v>
      </c>
      <c r="D240" s="160">
        <v>4</v>
      </c>
      <c r="E240" s="160">
        <v>4</v>
      </c>
      <c r="F240" s="160">
        <v>3</v>
      </c>
      <c r="G240" s="160">
        <v>2</v>
      </c>
      <c r="H240" s="160">
        <v>2</v>
      </c>
      <c r="I240" s="160">
        <v>8</v>
      </c>
      <c r="J240" s="160">
        <f>28/27</f>
        <v>1.037037037037037</v>
      </c>
      <c r="K240" s="160">
        <f t="shared" si="147"/>
        <v>0</v>
      </c>
      <c r="L240" s="160">
        <v>3</v>
      </c>
      <c r="M240" s="160">
        <v>6</v>
      </c>
      <c r="N240" s="160">
        <v>13</v>
      </c>
      <c r="O240" s="160">
        <v>12</v>
      </c>
      <c r="P240" s="160">
        <v>11</v>
      </c>
      <c r="Q240" s="160">
        <v>12.5</v>
      </c>
      <c r="R240" s="160">
        <v>12</v>
      </c>
      <c r="S240" s="160">
        <v>32</v>
      </c>
      <c r="T240" s="160">
        <v>2</v>
      </c>
      <c r="U240" s="160">
        <v>0</v>
      </c>
      <c r="V240" s="161">
        <v>15</v>
      </c>
    </row>
    <row r="241" spans="1:22" hidden="1" outlineLevel="1" x14ac:dyDescent="0.2">
      <c r="A241" s="8"/>
      <c r="B241" s="16"/>
      <c r="C241" s="163">
        <f t="shared" ref="C241:J241" si="148">C235*$B235+C236*$B236+C237*$B237+C238*$B238+C239*$B239+C240*$B240</f>
        <v>74.092680000000001</v>
      </c>
      <c r="D241" s="163">
        <f t="shared" si="148"/>
        <v>230.28086999999999</v>
      </c>
      <c r="E241" s="163">
        <f t="shared" si="148"/>
        <v>235.37893389999999</v>
      </c>
      <c r="F241" s="163">
        <f t="shared" si="148"/>
        <v>197.22688779999999</v>
      </c>
      <c r="G241" s="163">
        <f t="shared" si="148"/>
        <v>138.59972648000002</v>
      </c>
      <c r="H241" s="163">
        <f t="shared" si="148"/>
        <v>133.50166258000002</v>
      </c>
      <c r="I241" s="163">
        <f t="shared" si="148"/>
        <v>418.32261800000003</v>
      </c>
      <c r="J241" s="163">
        <f t="shared" si="148"/>
        <v>105.10659225925924</v>
      </c>
      <c r="K241" s="163">
        <f>1/(K228/$B228)</f>
        <v>60.084300000000006</v>
      </c>
      <c r="L241" s="163">
        <f t="shared" ref="L241:U241" si="149">L235*$B235+L236*$B236+L237*$B237+L238*$B238+L239*$B239+L240*$B240</f>
        <v>156.00711799999999</v>
      </c>
      <c r="M241" s="163">
        <f t="shared" si="149"/>
        <v>378.28515800000002</v>
      </c>
      <c r="N241" s="163">
        <f t="shared" si="149"/>
        <v>560.46951800000011</v>
      </c>
      <c r="O241" s="163">
        <f t="shared" si="149"/>
        <v>564.45913799999994</v>
      </c>
      <c r="P241" s="163">
        <f t="shared" si="149"/>
        <v>568.448758</v>
      </c>
      <c r="Q241" s="163">
        <f t="shared" si="149"/>
        <v>591.49397799999997</v>
      </c>
      <c r="R241" s="163">
        <f t="shared" si="149"/>
        <v>622.51843800000006</v>
      </c>
      <c r="S241" s="163">
        <f t="shared" si="149"/>
        <v>1255.1072380000001</v>
      </c>
      <c r="T241" s="163">
        <f t="shared" si="149"/>
        <v>172.17216000000002</v>
      </c>
      <c r="U241" s="163">
        <f t="shared" si="149"/>
        <v>100.0872</v>
      </c>
      <c r="V241" s="164">
        <f>V235*$B235+V236*$B236+V237*$B237+V238*$B238+V239*$B239+V240*$B240</f>
        <v>622.61969999999997</v>
      </c>
    </row>
    <row r="242" spans="1:22" hidden="1" outlineLevel="1" x14ac:dyDescent="0.2">
      <c r="A242" s="57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  <c r="S242" s="58"/>
      <c r="T242" s="58"/>
      <c r="U242" s="58"/>
      <c r="V242" s="165"/>
    </row>
    <row r="243" spans="1:22" collapsed="1" x14ac:dyDescent="0.2"/>
    <row r="244" spans="1:22" x14ac:dyDescent="0.2">
      <c r="D244" s="166"/>
      <c r="E244" s="166"/>
    </row>
    <row r="285" spans="17:30" x14ac:dyDescent="0.2">
      <c r="V285" s="166" t="s">
        <v>6</v>
      </c>
      <c r="W285" s="166" t="s">
        <v>13</v>
      </c>
      <c r="X285" s="166" t="s">
        <v>3</v>
      </c>
      <c r="Y285" s="166" t="s">
        <v>109</v>
      </c>
      <c r="Z285" s="166" t="s">
        <v>110</v>
      </c>
      <c r="AA285" s="166" t="s">
        <v>111</v>
      </c>
      <c r="AB285" s="166" t="s">
        <v>112</v>
      </c>
      <c r="AC285" s="167" t="s">
        <v>113</v>
      </c>
      <c r="AD285" s="167" t="s">
        <v>114</v>
      </c>
    </row>
    <row r="286" spans="17:30" x14ac:dyDescent="0.2">
      <c r="Q286" s="168" t="s">
        <v>115</v>
      </c>
      <c r="R286" s="169">
        <v>26.981539000000001</v>
      </c>
      <c r="T286" s="170" t="s">
        <v>116</v>
      </c>
      <c r="V286" s="1">
        <v>0</v>
      </c>
      <c r="W286" s="1">
        <v>0</v>
      </c>
      <c r="X286" s="1">
        <v>1</v>
      </c>
      <c r="Y286" s="166">
        <f t="shared" ref="Y286:Y314" si="150">SUM(V286:X286)</f>
        <v>1</v>
      </c>
      <c r="Z286" s="166">
        <f t="shared" ref="Z286:Z313" si="151">+V286/Y286*100</f>
        <v>0</v>
      </c>
      <c r="AA286" s="166">
        <f t="shared" ref="AA286:AA314" si="152">+W286/Y286*100</f>
        <v>0</v>
      </c>
      <c r="AB286" s="166">
        <f t="shared" ref="AB286:AB314" si="153">+X286/Y286*100</f>
        <v>100</v>
      </c>
      <c r="AC286" s="171">
        <f t="shared" ref="AC286:AC313" si="154">+Z286+AD286/1.73205</f>
        <v>50</v>
      </c>
      <c r="AD286" s="171">
        <f t="shared" ref="AD286:AD313" si="155">+AB286*0.866025</f>
        <v>86.602500000000006</v>
      </c>
    </row>
    <row r="287" spans="17:30" x14ac:dyDescent="0.2">
      <c r="Q287" s="168" t="s">
        <v>117</v>
      </c>
      <c r="R287" s="169">
        <v>40.078000000000003</v>
      </c>
      <c r="T287" s="170" t="s">
        <v>82</v>
      </c>
      <c r="U287" s="36"/>
      <c r="V287" s="1">
        <v>1</v>
      </c>
      <c r="W287" s="1">
        <v>0</v>
      </c>
      <c r="X287" s="1">
        <v>0</v>
      </c>
      <c r="Y287" s="166">
        <f t="shared" si="150"/>
        <v>1</v>
      </c>
      <c r="Z287" s="166">
        <f t="shared" si="151"/>
        <v>100</v>
      </c>
      <c r="AA287" s="166">
        <f t="shared" si="152"/>
        <v>0</v>
      </c>
      <c r="AB287" s="166">
        <f t="shared" si="153"/>
        <v>0</v>
      </c>
      <c r="AC287" s="171">
        <f t="shared" si="154"/>
        <v>100</v>
      </c>
      <c r="AD287" s="171">
        <f t="shared" si="155"/>
        <v>0</v>
      </c>
    </row>
    <row r="288" spans="17:30" x14ac:dyDescent="0.2">
      <c r="Q288" s="168" t="s">
        <v>118</v>
      </c>
      <c r="R288" s="169">
        <v>22.989768000000002</v>
      </c>
      <c r="T288" s="170" t="s">
        <v>119</v>
      </c>
      <c r="U288" s="36"/>
      <c r="V288" s="1">
        <v>0</v>
      </c>
      <c r="W288" s="1">
        <v>1</v>
      </c>
      <c r="X288" s="1">
        <v>0</v>
      </c>
      <c r="Y288" s="166">
        <f t="shared" si="150"/>
        <v>1</v>
      </c>
      <c r="Z288" s="166">
        <f t="shared" si="151"/>
        <v>0</v>
      </c>
      <c r="AA288" s="166">
        <f t="shared" si="152"/>
        <v>100</v>
      </c>
      <c r="AB288" s="166">
        <f t="shared" si="153"/>
        <v>0</v>
      </c>
      <c r="AC288" s="171">
        <f t="shared" si="154"/>
        <v>0</v>
      </c>
      <c r="AD288" s="171">
        <f t="shared" si="155"/>
        <v>0</v>
      </c>
    </row>
    <row r="289" spans="17:30" x14ac:dyDescent="0.2">
      <c r="Q289" s="168" t="s">
        <v>120</v>
      </c>
      <c r="R289" s="169">
        <v>39.098300000000002</v>
      </c>
      <c r="T289" s="33" t="str">
        <f>T286</f>
        <v>s gel</v>
      </c>
      <c r="U289" s="33"/>
      <c r="V289" s="33">
        <f>V286</f>
        <v>0</v>
      </c>
      <c r="W289" s="33">
        <f>W286</f>
        <v>0</v>
      </c>
      <c r="X289" s="33">
        <f>X286</f>
        <v>1</v>
      </c>
      <c r="Y289" s="166">
        <f t="shared" si="150"/>
        <v>1</v>
      </c>
      <c r="Z289" s="166">
        <f t="shared" si="151"/>
        <v>0</v>
      </c>
      <c r="AA289" s="166">
        <f t="shared" si="152"/>
        <v>0</v>
      </c>
      <c r="AB289" s="166">
        <f t="shared" si="153"/>
        <v>100</v>
      </c>
      <c r="AC289" s="171">
        <f t="shared" si="154"/>
        <v>50</v>
      </c>
      <c r="AD289" s="171">
        <f t="shared" si="155"/>
        <v>86.602500000000006</v>
      </c>
    </row>
    <row r="290" spans="17:30" x14ac:dyDescent="0.2">
      <c r="Q290" s="168" t="s">
        <v>121</v>
      </c>
      <c r="R290" s="169">
        <v>55.847000000000001</v>
      </c>
      <c r="T290" s="170" t="s">
        <v>103</v>
      </c>
      <c r="U290" s="36"/>
      <c r="V290" s="95">
        <f>J221</f>
        <v>0.16167916748186939</v>
      </c>
      <c r="W290" s="95">
        <f>J219</f>
        <v>8.8921476117117551E-2</v>
      </c>
      <c r="X290" s="95">
        <f>J220</f>
        <v>0.57165110873154523</v>
      </c>
      <c r="Y290" s="166">
        <f t="shared" si="150"/>
        <v>0.82225175233053216</v>
      </c>
      <c r="Z290" s="166">
        <f t="shared" si="151"/>
        <v>19.662976335850598</v>
      </c>
      <c r="AA290" s="166">
        <f>+W290/Y290*100</f>
        <v>10.81438572372571</v>
      </c>
      <c r="AB290" s="166">
        <f t="shared" si="153"/>
        <v>69.522637940423692</v>
      </c>
      <c r="AC290" s="171">
        <f>+Z290+AD290/1.73205</f>
        <v>54.424295306062447</v>
      </c>
      <c r="AD290" s="171">
        <f t="shared" si="155"/>
        <v>60.20834252235543</v>
      </c>
    </row>
    <row r="291" spans="17:30" x14ac:dyDescent="0.2">
      <c r="Q291" s="168" t="s">
        <v>122</v>
      </c>
      <c r="R291" s="169">
        <v>24.305</v>
      </c>
      <c r="T291" s="33" t="str">
        <f>T287</f>
        <v>AH3</v>
      </c>
      <c r="U291" s="33"/>
      <c r="V291" s="33">
        <f>V287</f>
        <v>1</v>
      </c>
      <c r="W291" s="33">
        <f>W287</f>
        <v>0</v>
      </c>
      <c r="X291" s="33">
        <f>X287</f>
        <v>0</v>
      </c>
      <c r="Y291" s="166">
        <f t="shared" si="150"/>
        <v>1</v>
      </c>
      <c r="Z291" s="166">
        <f t="shared" si="151"/>
        <v>100</v>
      </c>
      <c r="AA291" s="166">
        <f t="shared" si="152"/>
        <v>0</v>
      </c>
      <c r="AB291" s="166">
        <f t="shared" si="153"/>
        <v>0</v>
      </c>
      <c r="AC291" s="171">
        <f t="shared" si="154"/>
        <v>100</v>
      </c>
      <c r="AD291" s="171">
        <f t="shared" si="155"/>
        <v>0</v>
      </c>
    </row>
    <row r="292" spans="17:30" x14ac:dyDescent="0.2">
      <c r="Q292" s="168" t="s">
        <v>123</v>
      </c>
      <c r="R292" s="169">
        <v>28.0855</v>
      </c>
      <c r="T292" s="172" t="s">
        <v>124</v>
      </c>
      <c r="U292" s="33"/>
      <c r="V292" s="1">
        <f>2*Al+3*mO</f>
        <v>101.96127799999999</v>
      </c>
      <c r="W292" s="1">
        <f>2*(mCa+mO)</f>
        <v>112.15480000000001</v>
      </c>
      <c r="X292" s="1">
        <f>1*(mSi+2*mO)</f>
        <v>60.084299999999999</v>
      </c>
      <c r="Y292" s="166">
        <f t="shared" si="150"/>
        <v>274.200378</v>
      </c>
      <c r="Z292" s="166">
        <f t="shared" si="151"/>
        <v>37.18495165604768</v>
      </c>
      <c r="AA292" s="166">
        <f t="shared" si="152"/>
        <v>40.902496494734955</v>
      </c>
      <c r="AB292" s="166">
        <f t="shared" si="153"/>
        <v>21.912551849217362</v>
      </c>
      <c r="AC292" s="171">
        <f t="shared" si="154"/>
        <v>48.141227580656363</v>
      </c>
      <c r="AD292" s="171">
        <f t="shared" si="155"/>
        <v>18.976817715218466</v>
      </c>
    </row>
    <row r="293" spans="17:30" x14ac:dyDescent="0.2">
      <c r="Q293" s="168" t="s">
        <v>125</v>
      </c>
      <c r="R293" s="169">
        <v>15.9994</v>
      </c>
      <c r="T293" s="1" t="s">
        <v>126</v>
      </c>
      <c r="U293" s="36"/>
      <c r="V293" s="1">
        <f>2*Al+3*mO</f>
        <v>101.96127799999999</v>
      </c>
      <c r="W293" s="1">
        <f>3*(mCa+mO)</f>
        <v>168.23220000000001</v>
      </c>
      <c r="X293" s="1">
        <v>0</v>
      </c>
      <c r="Y293" s="166">
        <f t="shared" si="150"/>
        <v>270.19347800000003</v>
      </c>
      <c r="Z293" s="166">
        <f t="shared" si="151"/>
        <v>37.736394954729434</v>
      </c>
      <c r="AA293" s="166">
        <f t="shared" si="152"/>
        <v>62.263605045270552</v>
      </c>
      <c r="AB293" s="166">
        <f t="shared" si="153"/>
        <v>0</v>
      </c>
      <c r="AC293" s="171">
        <f t="shared" si="154"/>
        <v>37.736394954729434</v>
      </c>
      <c r="AD293" s="171">
        <f t="shared" si="155"/>
        <v>0</v>
      </c>
    </row>
    <row r="294" spans="17:30" x14ac:dyDescent="0.2">
      <c r="Q294" s="168" t="s">
        <v>127</v>
      </c>
      <c r="R294" s="169">
        <v>1.0079400000000001</v>
      </c>
      <c r="T294" s="33" t="s">
        <v>124</v>
      </c>
      <c r="U294" s="33"/>
      <c r="V294" s="33">
        <f>V292</f>
        <v>101.96127799999999</v>
      </c>
      <c r="W294" s="33">
        <f>W292</f>
        <v>112.15480000000001</v>
      </c>
      <c r="X294" s="33">
        <f>X292</f>
        <v>60.084299999999999</v>
      </c>
      <c r="Y294" s="166">
        <f t="shared" si="150"/>
        <v>274.200378</v>
      </c>
      <c r="Z294" s="166">
        <f t="shared" si="151"/>
        <v>37.18495165604768</v>
      </c>
      <c r="AA294" s="166">
        <f t="shared" si="152"/>
        <v>40.902496494734955</v>
      </c>
      <c r="AB294" s="166">
        <f t="shared" si="153"/>
        <v>21.912551849217362</v>
      </c>
      <c r="AC294" s="171">
        <f t="shared" si="154"/>
        <v>48.141227580656363</v>
      </c>
      <c r="AD294" s="171">
        <f t="shared" si="155"/>
        <v>18.976817715218466</v>
      </c>
    </row>
    <row r="295" spans="17:30" x14ac:dyDescent="0.2">
      <c r="Q295" s="168" t="s">
        <v>128</v>
      </c>
      <c r="R295" s="169">
        <v>32.066000000000003</v>
      </c>
      <c r="T295" s="33" t="s">
        <v>103</v>
      </c>
      <c r="V295" s="95">
        <f>V290</f>
        <v>0.16167916748186939</v>
      </c>
      <c r="W295" s="95">
        <f>W290</f>
        <v>8.8921476117117551E-2</v>
      </c>
      <c r="X295" s="95">
        <f>X290</f>
        <v>0.57165110873154523</v>
      </c>
      <c r="Y295" s="166">
        <f t="shared" si="150"/>
        <v>0.82225175233053216</v>
      </c>
      <c r="Z295" s="166">
        <f t="shared" si="151"/>
        <v>19.662976335850598</v>
      </c>
      <c r="AA295" s="166">
        <f t="shared" si="152"/>
        <v>10.81438572372571</v>
      </c>
      <c r="AB295" s="166">
        <f t="shared" si="153"/>
        <v>69.522637940423692</v>
      </c>
      <c r="AC295" s="171">
        <f t="shared" si="154"/>
        <v>54.424295306062447</v>
      </c>
      <c r="AD295" s="171">
        <f t="shared" si="155"/>
        <v>60.20834252235543</v>
      </c>
    </row>
    <row r="296" spans="17:30" x14ac:dyDescent="0.2">
      <c r="Q296" s="28" t="s">
        <v>129</v>
      </c>
      <c r="R296" s="173">
        <v>12.010999999999999</v>
      </c>
      <c r="T296" s="174" t="s">
        <v>130</v>
      </c>
      <c r="U296" s="36" t="s">
        <v>131</v>
      </c>
      <c r="V296" s="174">
        <f>0.05*(2*Al+3*mO)</f>
        <v>5.0980638999999996</v>
      </c>
      <c r="W296" s="174">
        <f>0.67*(mCa+mO)</f>
        <v>37.571858000000006</v>
      </c>
      <c r="X296" s="174">
        <f>mSi+2*mO</f>
        <v>60.084299999999999</v>
      </c>
      <c r="Y296" s="166">
        <f t="shared" si="150"/>
        <v>102.7542219</v>
      </c>
      <c r="Z296" s="166">
        <f t="shared" si="151"/>
        <v>4.9614155075413011</v>
      </c>
      <c r="AA296" s="166">
        <f t="shared" si="152"/>
        <v>36.564782745924333</v>
      </c>
      <c r="AB296" s="166">
        <f t="shared" si="153"/>
        <v>58.473801746534363</v>
      </c>
      <c r="AC296" s="171">
        <f t="shared" si="154"/>
        <v>34.198316380808485</v>
      </c>
      <c r="AD296" s="171">
        <f t="shared" si="155"/>
        <v>50.639774157542426</v>
      </c>
    </row>
    <row r="297" spans="17:30" x14ac:dyDescent="0.2">
      <c r="Q297" s="168" t="s">
        <v>132</v>
      </c>
      <c r="R297" s="169">
        <v>87.62</v>
      </c>
      <c r="T297" s="33" t="s">
        <v>124</v>
      </c>
      <c r="U297" s="33" t="s">
        <v>80</v>
      </c>
      <c r="V297" s="33">
        <f>V294</f>
        <v>101.96127799999999</v>
      </c>
      <c r="W297" s="33">
        <f>W294</f>
        <v>112.15480000000001</v>
      </c>
      <c r="X297" s="33">
        <f>X294</f>
        <v>60.084299999999999</v>
      </c>
      <c r="Y297" s="166">
        <f t="shared" si="150"/>
        <v>274.200378</v>
      </c>
      <c r="Z297" s="166">
        <f t="shared" si="151"/>
        <v>37.18495165604768</v>
      </c>
      <c r="AA297" s="166">
        <f t="shared" si="152"/>
        <v>40.902496494734955</v>
      </c>
      <c r="AB297" s="166">
        <f t="shared" si="153"/>
        <v>21.912551849217362</v>
      </c>
      <c r="AC297" s="171">
        <f t="shared" si="154"/>
        <v>48.141227580656363</v>
      </c>
      <c r="AD297" s="171">
        <f t="shared" si="155"/>
        <v>18.976817715218466</v>
      </c>
    </row>
    <row r="298" spans="17:30" x14ac:dyDescent="0.2">
      <c r="Q298" s="168" t="s">
        <v>133</v>
      </c>
      <c r="R298" s="169">
        <v>6.9409999999999998</v>
      </c>
      <c r="T298" s="175"/>
      <c r="U298" s="36" t="s">
        <v>134</v>
      </c>
      <c r="V298" s="1">
        <f>0.1*(2*Al+3*mO)</f>
        <v>10.196127799999999</v>
      </c>
      <c r="W298" s="1">
        <f>1.3*(mCa+mO)</f>
        <v>72.900620000000004</v>
      </c>
      <c r="X298" s="1">
        <f>mSi+2*mO</f>
        <v>60.084299999999999</v>
      </c>
      <c r="Y298" s="166">
        <f t="shared" si="150"/>
        <v>143.18104779999999</v>
      </c>
      <c r="Z298" s="166">
        <f t="shared" si="151"/>
        <v>7.1211434450754174</v>
      </c>
      <c r="AA298" s="166">
        <f t="shared" si="152"/>
        <v>50.914992675448211</v>
      </c>
      <c r="AB298" s="166">
        <f t="shared" si="153"/>
        <v>41.963863879476378</v>
      </c>
      <c r="AC298" s="171">
        <f t="shared" si="154"/>
        <v>28.103075384813607</v>
      </c>
      <c r="AD298" s="171">
        <f t="shared" si="155"/>
        <v>36.341755216223532</v>
      </c>
    </row>
    <row r="299" spans="17:30" x14ac:dyDescent="0.2">
      <c r="Q299" s="168" t="s">
        <v>135</v>
      </c>
      <c r="R299" s="169">
        <v>14.0067</v>
      </c>
      <c r="T299" s="1" t="s">
        <v>126</v>
      </c>
      <c r="V299" s="1">
        <f>2*Al+3*mO</f>
        <v>101.96127799999999</v>
      </c>
      <c r="W299" s="1">
        <f>3*(mCa+mO)</f>
        <v>168.23220000000001</v>
      </c>
      <c r="X299" s="1">
        <v>0</v>
      </c>
      <c r="Y299" s="166">
        <f t="shared" si="150"/>
        <v>270.19347800000003</v>
      </c>
      <c r="Z299" s="166">
        <f t="shared" si="151"/>
        <v>37.736394954729434</v>
      </c>
      <c r="AA299" s="166">
        <f t="shared" si="152"/>
        <v>62.263605045270552</v>
      </c>
      <c r="AB299" s="166">
        <f t="shared" si="153"/>
        <v>0</v>
      </c>
      <c r="AC299" s="171">
        <f t="shared" si="154"/>
        <v>37.736394954729434</v>
      </c>
      <c r="AD299" s="171">
        <f t="shared" si="155"/>
        <v>0</v>
      </c>
    </row>
    <row r="300" spans="17:30" x14ac:dyDescent="0.2">
      <c r="Q300" s="28" t="s">
        <v>136</v>
      </c>
      <c r="R300" s="176">
        <f>mC+2*mO</f>
        <v>44.009799999999998</v>
      </c>
      <c r="T300" s="170" t="s">
        <v>137</v>
      </c>
      <c r="U300" s="36" t="s">
        <v>138</v>
      </c>
      <c r="V300" s="1">
        <f>0.05*(2*Al+3*mO)</f>
        <v>5.0980638999999996</v>
      </c>
      <c r="W300" s="1">
        <f>1.75*(mCa+mO)</f>
        <v>98.135450000000006</v>
      </c>
      <c r="X300" s="1">
        <f>mSi+2*mO</f>
        <v>60.084299999999999</v>
      </c>
      <c r="Y300" s="166">
        <f t="shared" si="150"/>
        <v>163.3178139</v>
      </c>
      <c r="Z300" s="166">
        <f t="shared" si="151"/>
        <v>3.1215602133405724</v>
      </c>
      <c r="AA300" s="166">
        <f t="shared" si="152"/>
        <v>60.088638009867459</v>
      </c>
      <c r="AB300" s="166">
        <f t="shared" si="153"/>
        <v>36.789801776791961</v>
      </c>
      <c r="AC300" s="171">
        <f t="shared" si="154"/>
        <v>21.516461101736553</v>
      </c>
      <c r="AD300" s="171">
        <f t="shared" si="155"/>
        <v>31.860888083746261</v>
      </c>
    </row>
    <row r="301" spans="17:30" x14ac:dyDescent="0.2">
      <c r="T301" s="1" t="s">
        <v>119</v>
      </c>
      <c r="V301" s="1">
        <v>0</v>
      </c>
      <c r="W301" s="1">
        <v>1</v>
      </c>
      <c r="X301" s="1">
        <v>0</v>
      </c>
      <c r="Y301" s="166">
        <f t="shared" si="150"/>
        <v>1</v>
      </c>
      <c r="Z301" s="166">
        <f t="shared" si="151"/>
        <v>0</v>
      </c>
      <c r="AA301" s="166">
        <f t="shared" si="152"/>
        <v>100</v>
      </c>
      <c r="AB301" s="166">
        <f t="shared" si="153"/>
        <v>0</v>
      </c>
      <c r="AC301" s="171">
        <f t="shared" si="154"/>
        <v>0</v>
      </c>
      <c r="AD301" s="171">
        <f t="shared" si="155"/>
        <v>0</v>
      </c>
    </row>
    <row r="302" spans="17:30" x14ac:dyDescent="0.2">
      <c r="T302" s="1" t="s">
        <v>137</v>
      </c>
      <c r="U302" s="36" t="s">
        <v>139</v>
      </c>
      <c r="V302" s="1">
        <f>0*102</f>
        <v>0</v>
      </c>
      <c r="W302" s="1">
        <f>1.75*(mCa+mO)</f>
        <v>98.135450000000006</v>
      </c>
      <c r="X302" s="1">
        <f>mSi+2*mO</f>
        <v>60.084299999999999</v>
      </c>
      <c r="Y302" s="166">
        <f t="shared" si="150"/>
        <v>158.21975</v>
      </c>
      <c r="Z302" s="166">
        <f t="shared" si="151"/>
        <v>0</v>
      </c>
      <c r="AA302" s="166">
        <f t="shared" si="152"/>
        <v>62.02477882818043</v>
      </c>
      <c r="AB302" s="166">
        <f t="shared" si="153"/>
        <v>37.97522117181957</v>
      </c>
      <c r="AC302" s="171">
        <f t="shared" si="154"/>
        <v>18.987610585909785</v>
      </c>
      <c r="AD302" s="171">
        <f t="shared" si="155"/>
        <v>32.887490915325046</v>
      </c>
    </row>
    <row r="303" spans="17:30" x14ac:dyDescent="0.2">
      <c r="T303" s="1" t="s">
        <v>119</v>
      </c>
      <c r="V303" s="1">
        <v>0</v>
      </c>
      <c r="W303" s="1">
        <v>1</v>
      </c>
      <c r="X303" s="1">
        <v>0</v>
      </c>
      <c r="Y303" s="166">
        <f t="shared" si="150"/>
        <v>1</v>
      </c>
      <c r="Z303" s="166">
        <f t="shared" si="151"/>
        <v>0</v>
      </c>
      <c r="AA303" s="166">
        <f t="shared" si="152"/>
        <v>100</v>
      </c>
      <c r="AB303" s="166">
        <f t="shared" si="153"/>
        <v>0</v>
      </c>
      <c r="AC303" s="171">
        <f t="shared" si="154"/>
        <v>0</v>
      </c>
      <c r="AD303" s="171">
        <f t="shared" si="155"/>
        <v>0</v>
      </c>
    </row>
    <row r="304" spans="17:30" x14ac:dyDescent="0.2">
      <c r="T304" s="1" t="s">
        <v>137</v>
      </c>
      <c r="U304" s="36" t="s">
        <v>139</v>
      </c>
      <c r="V304" s="1">
        <f>0*102</f>
        <v>0</v>
      </c>
      <c r="W304" s="1">
        <f>1.75*(mCa+mO)</f>
        <v>98.135450000000006</v>
      </c>
      <c r="X304" s="1">
        <f t="shared" ref="X304:X309" si="156">mSi+2*mO</f>
        <v>60.084299999999999</v>
      </c>
      <c r="Y304" s="166">
        <f t="shared" si="150"/>
        <v>158.21975</v>
      </c>
      <c r="Z304" s="166">
        <f t="shared" si="151"/>
        <v>0</v>
      </c>
      <c r="AA304" s="166">
        <f t="shared" si="152"/>
        <v>62.02477882818043</v>
      </c>
      <c r="AB304" s="166">
        <f t="shared" si="153"/>
        <v>37.97522117181957</v>
      </c>
      <c r="AC304" s="171">
        <f t="shared" si="154"/>
        <v>18.987610585909785</v>
      </c>
      <c r="AD304" s="171">
        <f t="shared" si="155"/>
        <v>32.887490915325046</v>
      </c>
    </row>
    <row r="305" spans="17:30" x14ac:dyDescent="0.2">
      <c r="T305" s="1" t="s">
        <v>137</v>
      </c>
      <c r="U305" s="36" t="s">
        <v>138</v>
      </c>
      <c r="V305" s="1">
        <f>0.05*(2*Al+3*mO)</f>
        <v>5.0980638999999996</v>
      </c>
      <c r="W305" s="1">
        <f>1.75*(mCa+mO)</f>
        <v>98.135450000000006</v>
      </c>
      <c r="X305" s="1">
        <f>mSi+2*mO</f>
        <v>60.084299999999999</v>
      </c>
      <c r="Y305" s="166">
        <f t="shared" si="150"/>
        <v>163.3178139</v>
      </c>
      <c r="Z305" s="166">
        <f t="shared" si="151"/>
        <v>3.1215602133405724</v>
      </c>
      <c r="AA305" s="166">
        <f t="shared" si="152"/>
        <v>60.088638009867459</v>
      </c>
      <c r="AB305" s="166">
        <f t="shared" si="153"/>
        <v>36.789801776791961</v>
      </c>
      <c r="AC305" s="171">
        <f t="shared" si="154"/>
        <v>21.516461101736553</v>
      </c>
      <c r="AD305" s="171">
        <f t="shared" si="155"/>
        <v>31.860888083746261</v>
      </c>
    </row>
    <row r="306" spans="17:30" x14ac:dyDescent="0.2">
      <c r="T306" s="36" t="s">
        <v>140</v>
      </c>
      <c r="U306" s="36" t="s">
        <v>134</v>
      </c>
      <c r="V306" s="1">
        <f>0.1*(2*Al+3*mO)</f>
        <v>10.196127799999999</v>
      </c>
      <c r="W306" s="1">
        <f>1.3*(mCa+mO)</f>
        <v>72.900620000000004</v>
      </c>
      <c r="X306" s="1">
        <f t="shared" si="156"/>
        <v>60.084299999999999</v>
      </c>
      <c r="Y306" s="166">
        <f t="shared" si="150"/>
        <v>143.18104779999999</v>
      </c>
      <c r="Z306" s="166">
        <f t="shared" si="151"/>
        <v>7.1211434450754174</v>
      </c>
      <c r="AA306" s="166">
        <f t="shared" si="152"/>
        <v>50.914992675448211</v>
      </c>
      <c r="AB306" s="166">
        <f t="shared" si="153"/>
        <v>41.963863879476378</v>
      </c>
      <c r="AC306" s="171">
        <f t="shared" si="154"/>
        <v>28.103075384813607</v>
      </c>
      <c r="AD306" s="171">
        <f t="shared" si="155"/>
        <v>36.341755216223532</v>
      </c>
    </row>
    <row r="307" spans="17:30" x14ac:dyDescent="0.2">
      <c r="T307" s="1" t="s">
        <v>130</v>
      </c>
      <c r="U307" s="36" t="s">
        <v>131</v>
      </c>
      <c r="V307" s="174">
        <f>0.05*(2*Al+3*mO)</f>
        <v>5.0980638999999996</v>
      </c>
      <c r="W307" s="174">
        <f>0.67*(mCa+mO)</f>
        <v>37.571858000000006</v>
      </c>
      <c r="X307" s="174">
        <f t="shared" si="156"/>
        <v>60.084299999999999</v>
      </c>
      <c r="Y307" s="166">
        <f t="shared" si="150"/>
        <v>102.7542219</v>
      </c>
      <c r="Z307" s="166">
        <f t="shared" si="151"/>
        <v>4.9614155075413011</v>
      </c>
      <c r="AA307" s="166">
        <f t="shared" si="152"/>
        <v>36.564782745924333</v>
      </c>
      <c r="AB307" s="166">
        <f t="shared" si="153"/>
        <v>58.473801746534363</v>
      </c>
      <c r="AC307" s="171">
        <f t="shared" si="154"/>
        <v>34.198316380808485</v>
      </c>
      <c r="AD307" s="171">
        <f t="shared" si="155"/>
        <v>50.639774157542426</v>
      </c>
    </row>
    <row r="308" spans="17:30" x14ac:dyDescent="0.2">
      <c r="T308" s="1" t="s">
        <v>130</v>
      </c>
      <c r="U308" s="36" t="s">
        <v>141</v>
      </c>
      <c r="V308" s="1">
        <f>0*102</f>
        <v>0</v>
      </c>
      <c r="W308" s="1">
        <f>0.67*(mCa+mO)</f>
        <v>37.571858000000006</v>
      </c>
      <c r="X308" s="1">
        <f t="shared" si="156"/>
        <v>60.084299999999999</v>
      </c>
      <c r="Y308" s="166">
        <f t="shared" si="150"/>
        <v>97.656158000000005</v>
      </c>
      <c r="Z308" s="166">
        <f t="shared" si="151"/>
        <v>0</v>
      </c>
      <c r="AA308" s="166">
        <f t="shared" si="152"/>
        <v>38.473618837226837</v>
      </c>
      <c r="AB308" s="166">
        <f t="shared" si="153"/>
        <v>61.526381162773156</v>
      </c>
      <c r="AC308" s="171">
        <f t="shared" si="154"/>
        <v>30.763190581386578</v>
      </c>
      <c r="AD308" s="171">
        <f t="shared" si="155"/>
        <v>53.283384246490627</v>
      </c>
    </row>
    <row r="309" spans="17:30" x14ac:dyDescent="0.2">
      <c r="T309" s="1" t="s">
        <v>130</v>
      </c>
      <c r="U309" s="36" t="s">
        <v>131</v>
      </c>
      <c r="V309" s="174">
        <f>0.05*(2*Al+3*mO)</f>
        <v>5.0980638999999996</v>
      </c>
      <c r="W309" s="174">
        <f>0.67*(mCa+mO)</f>
        <v>37.571858000000006</v>
      </c>
      <c r="X309" s="174">
        <f t="shared" si="156"/>
        <v>60.084299999999999</v>
      </c>
      <c r="Y309" s="166">
        <f t="shared" si="150"/>
        <v>102.7542219</v>
      </c>
      <c r="Z309" s="166">
        <f t="shared" si="151"/>
        <v>4.9614155075413011</v>
      </c>
      <c r="AA309" s="166">
        <f t="shared" si="152"/>
        <v>36.564782745924333</v>
      </c>
      <c r="AB309" s="166">
        <f t="shared" si="153"/>
        <v>58.473801746534363</v>
      </c>
      <c r="AC309" s="171">
        <f t="shared" si="154"/>
        <v>34.198316380808485</v>
      </c>
      <c r="AD309" s="171">
        <f t="shared" si="155"/>
        <v>50.639774157542426</v>
      </c>
    </row>
    <row r="310" spans="17:30" x14ac:dyDescent="0.2">
      <c r="T310" s="33" t="str">
        <f>T286</f>
        <v>s gel</v>
      </c>
      <c r="U310" s="33"/>
      <c r="V310" s="33">
        <f>V286</f>
        <v>0</v>
      </c>
      <c r="W310" s="33">
        <f>W286</f>
        <v>0</v>
      </c>
      <c r="X310" s="33">
        <f>X286</f>
        <v>1</v>
      </c>
      <c r="Y310" s="166">
        <f>SUM(V310:X310)</f>
        <v>1</v>
      </c>
      <c r="Z310" s="166">
        <f>+V310/Y310*100</f>
        <v>0</v>
      </c>
      <c r="AA310" s="166">
        <f>+W310/Y310*100</f>
        <v>0</v>
      </c>
      <c r="AB310" s="166">
        <f>+X310/Y310*100</f>
        <v>100</v>
      </c>
      <c r="AC310" s="171">
        <f>+Z310+AD310/1.73205</f>
        <v>50</v>
      </c>
      <c r="AD310" s="171">
        <f>+AB310*0.866025</f>
        <v>86.602500000000006</v>
      </c>
    </row>
    <row r="311" spans="17:30" x14ac:dyDescent="0.2">
      <c r="T311" s="33" t="str">
        <f>T308</f>
        <v>c-s-h2</v>
      </c>
      <c r="U311" s="33" t="str">
        <f>U308</f>
        <v>C0.67SH</v>
      </c>
      <c r="V311" s="33">
        <f>V308</f>
        <v>0</v>
      </c>
      <c r="W311" s="33">
        <f>W308</f>
        <v>37.571858000000006</v>
      </c>
      <c r="X311" s="33">
        <f>X308</f>
        <v>60.084299999999999</v>
      </c>
      <c r="Y311" s="166">
        <f>SUM(V311:X311)</f>
        <v>97.656158000000005</v>
      </c>
      <c r="Z311" s="166">
        <f>+V311/Y311*100</f>
        <v>0</v>
      </c>
      <c r="AA311" s="166">
        <f>+W311/Y311*100</f>
        <v>38.473618837226837</v>
      </c>
      <c r="AB311" s="166">
        <f>+X311/Y311*100</f>
        <v>61.526381162773156</v>
      </c>
      <c r="AC311" s="171">
        <f>+Z311+AD311/1.73205</f>
        <v>30.763190581386578</v>
      </c>
      <c r="AD311" s="171">
        <f>+AB311*0.866025</f>
        <v>53.283384246490627</v>
      </c>
    </row>
    <row r="312" spans="17:30" x14ac:dyDescent="0.2">
      <c r="T312" s="36" t="s">
        <v>140</v>
      </c>
      <c r="U312" s="36" t="s">
        <v>134</v>
      </c>
      <c r="V312" s="1">
        <f>0.1*(2*Al+3*mO)</f>
        <v>10.196127799999999</v>
      </c>
      <c r="W312" s="1">
        <f>1.3*(mCa+mO)</f>
        <v>72.900620000000004</v>
      </c>
      <c r="X312" s="1">
        <f>mSi+2*mO</f>
        <v>60.084299999999999</v>
      </c>
      <c r="Y312" s="166">
        <f>SUM(V312:X312)</f>
        <v>143.18104779999999</v>
      </c>
      <c r="Z312" s="166">
        <f>+V312/Y312*100</f>
        <v>7.1211434450754174</v>
      </c>
      <c r="AA312" s="166">
        <f>+W312/Y312*100</f>
        <v>50.914992675448211</v>
      </c>
      <c r="AB312" s="166">
        <f>+X312/Y312*100</f>
        <v>41.963863879476378</v>
      </c>
      <c r="AC312" s="171">
        <f>+Z312+AD312/1.73205</f>
        <v>28.103075384813607</v>
      </c>
      <c r="AD312" s="171">
        <f>+AB312*0.866025</f>
        <v>36.341755216223532</v>
      </c>
    </row>
    <row r="313" spans="17:30" x14ac:dyDescent="0.2">
      <c r="T313" s="1" t="s">
        <v>137</v>
      </c>
      <c r="U313" s="36" t="s">
        <v>139</v>
      </c>
      <c r="V313" s="1">
        <f>0*102</f>
        <v>0</v>
      </c>
      <c r="W313" s="1">
        <f>1.75*(mCa+mO)</f>
        <v>98.135450000000006</v>
      </c>
      <c r="X313" s="1">
        <f>mSi+2*mO</f>
        <v>60.084299999999999</v>
      </c>
      <c r="Y313" s="166">
        <f t="shared" si="150"/>
        <v>158.21975</v>
      </c>
      <c r="Z313" s="166">
        <f t="shared" si="151"/>
        <v>0</v>
      </c>
      <c r="AA313" s="166">
        <f t="shared" si="152"/>
        <v>62.02477882818043</v>
      </c>
      <c r="AB313" s="166">
        <f t="shared" si="153"/>
        <v>37.97522117181957</v>
      </c>
      <c r="AC313" s="171">
        <f t="shared" si="154"/>
        <v>18.987610585909785</v>
      </c>
      <c r="AD313" s="171">
        <f t="shared" si="155"/>
        <v>32.887490915325046</v>
      </c>
    </row>
    <row r="314" spans="17:30" x14ac:dyDescent="0.2">
      <c r="V314" s="177">
        <f>'with thaumasite'!AA7</f>
        <v>1.3579681694530223</v>
      </c>
      <c r="W314" s="177">
        <f>'with thaumasite'!V19</f>
        <v>14.656598086521544</v>
      </c>
      <c r="X314" s="177">
        <f>'with thaumasite'!V20</f>
        <v>6.0563303079822681</v>
      </c>
      <c r="Y314" s="178">
        <f t="shared" si="150"/>
        <v>22.070896563956836</v>
      </c>
      <c r="Z314" s="178">
        <f>+V314/Y314*100</f>
        <v>6.152754898369964</v>
      </c>
      <c r="AA314" s="178">
        <f t="shared" si="152"/>
        <v>66.406899439040885</v>
      </c>
      <c r="AB314" s="178">
        <f t="shared" si="153"/>
        <v>27.440345662589156</v>
      </c>
      <c r="AC314" s="179">
        <f>+Z314+AD314/1.73205</f>
        <v>19.872927729664543</v>
      </c>
      <c r="AD314" s="179">
        <f>+AB314*0.866025</f>
        <v>23.764025352443774</v>
      </c>
    </row>
    <row r="315" spans="17:30" x14ac:dyDescent="0.2">
      <c r="AC315" s="33"/>
      <c r="AD315" s="33"/>
    </row>
    <row r="316" spans="17:30" x14ac:dyDescent="0.2">
      <c r="V316" s="166" t="s">
        <v>95</v>
      </c>
      <c r="W316" s="166" t="s">
        <v>50</v>
      </c>
      <c r="X316" s="166" t="s">
        <v>96</v>
      </c>
      <c r="Z316" s="166" t="s">
        <v>95</v>
      </c>
      <c r="AA316" s="166" t="s">
        <v>50</v>
      </c>
      <c r="AB316" s="166" t="s">
        <v>96</v>
      </c>
      <c r="AC316" s="33"/>
      <c r="AD316" s="33"/>
    </row>
    <row r="317" spans="17:30" x14ac:dyDescent="0.2">
      <c r="R317" s="166" t="s">
        <v>50</v>
      </c>
      <c r="S317" s="166" t="s">
        <v>96</v>
      </c>
      <c r="T317" s="166" t="s">
        <v>95</v>
      </c>
      <c r="U317" s="166" t="s">
        <v>109</v>
      </c>
      <c r="V317" s="166" t="s">
        <v>110</v>
      </c>
      <c r="W317" s="166" t="s">
        <v>111</v>
      </c>
      <c r="X317" s="166" t="s">
        <v>112</v>
      </c>
      <c r="Y317" s="166"/>
      <c r="Z317" s="166" t="s">
        <v>110</v>
      </c>
      <c r="AA317" s="166" t="s">
        <v>111</v>
      </c>
      <c r="AB317" s="166" t="s">
        <v>112</v>
      </c>
      <c r="AC317" s="180" t="s">
        <v>113</v>
      </c>
      <c r="AD317" s="180" t="s">
        <v>114</v>
      </c>
    </row>
    <row r="318" spans="17:30" x14ac:dyDescent="0.2">
      <c r="Q318" s="1" t="s">
        <v>50</v>
      </c>
      <c r="R318" s="1">
        <v>1</v>
      </c>
      <c r="S318" s="1">
        <v>0</v>
      </c>
      <c r="T318" s="1">
        <v>0</v>
      </c>
      <c r="U318" s="166">
        <f t="shared" ref="U318:U330" si="157">SUM(R318:T318)</f>
        <v>1</v>
      </c>
      <c r="V318" s="166">
        <f t="shared" ref="V318:V330" si="158">+T318/U318*100</f>
        <v>0</v>
      </c>
      <c r="W318" s="166">
        <f t="shared" ref="W318:W330" si="159">+R318/U318*100</f>
        <v>100</v>
      </c>
      <c r="X318" s="166">
        <f t="shared" ref="X318:X330" si="160">+S318/U318*100</f>
        <v>0</v>
      </c>
      <c r="Y318" s="166">
        <f t="shared" ref="Y318:Y330" si="161">(W318*270+X318*136+V318*100)</f>
        <v>27000</v>
      </c>
      <c r="Z318" s="166">
        <f t="shared" ref="Z318:Z330" si="162">V318*100/Y318*100</f>
        <v>0</v>
      </c>
      <c r="AA318" s="166">
        <f t="shared" ref="AA318:AA330" si="163">W318*270/Y318*100</f>
        <v>100</v>
      </c>
      <c r="AB318" s="166">
        <f t="shared" ref="AB318:AB330" si="164">X318*136/Y318*100</f>
        <v>0</v>
      </c>
      <c r="AC318" s="33">
        <f t="shared" ref="AC318:AC330" si="165">+Z318+AD318/1.73205</f>
        <v>0</v>
      </c>
      <c r="AD318" s="33">
        <f t="shared" ref="AD318:AD330" si="166">+AB318*0.866025</f>
        <v>0</v>
      </c>
    </row>
    <row r="319" spans="17:30" x14ac:dyDescent="0.2">
      <c r="Q319" s="1" t="s">
        <v>96</v>
      </c>
      <c r="R319" s="1">
        <v>0</v>
      </c>
      <c r="S319" s="1">
        <v>1</v>
      </c>
      <c r="T319" s="1">
        <v>0</v>
      </c>
      <c r="U319" s="166">
        <f t="shared" si="157"/>
        <v>1</v>
      </c>
      <c r="V319" s="166">
        <f t="shared" si="158"/>
        <v>0</v>
      </c>
      <c r="W319" s="166">
        <f t="shared" si="159"/>
        <v>0</v>
      </c>
      <c r="X319" s="166">
        <f t="shared" si="160"/>
        <v>100</v>
      </c>
      <c r="Y319" s="166">
        <f t="shared" si="161"/>
        <v>13600</v>
      </c>
      <c r="Z319" s="166">
        <f t="shared" si="162"/>
        <v>0</v>
      </c>
      <c r="AA319" s="166">
        <f t="shared" si="163"/>
        <v>0</v>
      </c>
      <c r="AB319" s="166">
        <f t="shared" si="164"/>
        <v>100</v>
      </c>
      <c r="AC319" s="33">
        <f t="shared" si="165"/>
        <v>50</v>
      </c>
      <c r="AD319" s="33">
        <f t="shared" si="166"/>
        <v>86.602500000000006</v>
      </c>
    </row>
    <row r="320" spans="17:30" x14ac:dyDescent="0.2">
      <c r="Q320" s="1" t="s">
        <v>95</v>
      </c>
      <c r="R320" s="1">
        <v>0</v>
      </c>
      <c r="S320" s="1">
        <v>0</v>
      </c>
      <c r="T320" s="1">
        <v>1</v>
      </c>
      <c r="U320" s="166">
        <f t="shared" si="157"/>
        <v>1</v>
      </c>
      <c r="V320" s="166">
        <f t="shared" si="158"/>
        <v>100</v>
      </c>
      <c r="W320" s="166">
        <f t="shared" si="159"/>
        <v>0</v>
      </c>
      <c r="X320" s="166">
        <f t="shared" si="160"/>
        <v>0</v>
      </c>
      <c r="Y320" s="166">
        <f t="shared" si="161"/>
        <v>10000</v>
      </c>
      <c r="Z320" s="166">
        <f t="shared" si="162"/>
        <v>100</v>
      </c>
      <c r="AA320" s="166">
        <f t="shared" si="163"/>
        <v>0</v>
      </c>
      <c r="AB320" s="166">
        <f t="shared" si="164"/>
        <v>0</v>
      </c>
      <c r="AC320" s="33">
        <f t="shared" si="165"/>
        <v>100</v>
      </c>
      <c r="AD320" s="33">
        <f t="shared" si="166"/>
        <v>0</v>
      </c>
    </row>
    <row r="321" spans="16:30" x14ac:dyDescent="0.2">
      <c r="Q321" s="1" t="s">
        <v>50</v>
      </c>
      <c r="R321" s="1">
        <v>1</v>
      </c>
      <c r="S321" s="1">
        <v>0</v>
      </c>
      <c r="T321" s="1">
        <v>0</v>
      </c>
      <c r="U321" s="166">
        <f t="shared" si="157"/>
        <v>1</v>
      </c>
      <c r="V321" s="166">
        <f t="shared" si="158"/>
        <v>0</v>
      </c>
      <c r="W321" s="166">
        <f t="shared" si="159"/>
        <v>100</v>
      </c>
      <c r="X321" s="166">
        <f t="shared" si="160"/>
        <v>0</v>
      </c>
      <c r="Y321" s="166">
        <f t="shared" si="161"/>
        <v>27000</v>
      </c>
      <c r="Z321" s="166">
        <f t="shared" si="162"/>
        <v>0</v>
      </c>
      <c r="AA321" s="166">
        <f t="shared" si="163"/>
        <v>100</v>
      </c>
      <c r="AB321" s="166">
        <f t="shared" si="164"/>
        <v>0</v>
      </c>
      <c r="AC321" s="33">
        <f t="shared" si="165"/>
        <v>0</v>
      </c>
      <c r="AD321" s="33">
        <f t="shared" si="166"/>
        <v>0</v>
      </c>
    </row>
    <row r="322" spans="16:30" x14ac:dyDescent="0.2">
      <c r="Q322" s="36" t="s">
        <v>142</v>
      </c>
      <c r="R322" s="1">
        <v>1</v>
      </c>
      <c r="S322" s="1">
        <v>0.5</v>
      </c>
      <c r="T322" s="1">
        <v>0</v>
      </c>
      <c r="U322" s="166">
        <f t="shared" si="157"/>
        <v>1.5</v>
      </c>
      <c r="V322" s="166">
        <f t="shared" si="158"/>
        <v>0</v>
      </c>
      <c r="W322" s="166">
        <f t="shared" si="159"/>
        <v>66.666666666666657</v>
      </c>
      <c r="X322" s="166">
        <f t="shared" si="160"/>
        <v>33.333333333333329</v>
      </c>
      <c r="Y322" s="166">
        <f t="shared" si="161"/>
        <v>22533.333333333328</v>
      </c>
      <c r="Z322" s="166">
        <f t="shared" si="162"/>
        <v>0</v>
      </c>
      <c r="AA322" s="166">
        <f t="shared" si="163"/>
        <v>79.881656804733723</v>
      </c>
      <c r="AB322" s="166">
        <f t="shared" si="164"/>
        <v>20.118343195266274</v>
      </c>
      <c r="AC322" s="33">
        <f t="shared" si="165"/>
        <v>10.059171597633137</v>
      </c>
      <c r="AD322" s="33">
        <f t="shared" si="166"/>
        <v>17.422988165680476</v>
      </c>
    </row>
    <row r="323" spans="16:30" x14ac:dyDescent="0.2">
      <c r="Q323" s="1" t="s">
        <v>43</v>
      </c>
      <c r="R323" s="1">
        <v>1</v>
      </c>
      <c r="S323" s="1">
        <v>0</v>
      </c>
      <c r="T323" s="1">
        <v>0.5</v>
      </c>
      <c r="U323" s="166">
        <f t="shared" si="157"/>
        <v>1.5</v>
      </c>
      <c r="V323" s="166">
        <f t="shared" si="158"/>
        <v>33.333333333333329</v>
      </c>
      <c r="W323" s="166">
        <f t="shared" si="159"/>
        <v>66.666666666666657</v>
      </c>
      <c r="X323" s="166">
        <f t="shared" si="160"/>
        <v>0</v>
      </c>
      <c r="Y323" s="166">
        <f t="shared" si="161"/>
        <v>21333.333333333328</v>
      </c>
      <c r="Z323" s="166">
        <f t="shared" si="162"/>
        <v>15.625000000000004</v>
      </c>
      <c r="AA323" s="166">
        <f t="shared" si="163"/>
        <v>84.375</v>
      </c>
      <c r="AB323" s="166">
        <f t="shared" si="164"/>
        <v>0</v>
      </c>
      <c r="AC323" s="33">
        <f t="shared" si="165"/>
        <v>15.625000000000004</v>
      </c>
      <c r="AD323" s="33">
        <f t="shared" si="166"/>
        <v>0</v>
      </c>
    </row>
    <row r="324" spans="16:30" x14ac:dyDescent="0.2">
      <c r="Q324" s="1" t="s">
        <v>46</v>
      </c>
      <c r="R324" s="1">
        <v>1</v>
      </c>
      <c r="S324" s="1">
        <v>1</v>
      </c>
      <c r="T324" s="1">
        <v>0</v>
      </c>
      <c r="U324" s="166">
        <f t="shared" si="157"/>
        <v>2</v>
      </c>
      <c r="V324" s="166">
        <f t="shared" si="158"/>
        <v>0</v>
      </c>
      <c r="W324" s="166">
        <f t="shared" si="159"/>
        <v>50</v>
      </c>
      <c r="X324" s="166">
        <f t="shared" si="160"/>
        <v>50</v>
      </c>
      <c r="Y324" s="166">
        <f t="shared" si="161"/>
        <v>20300</v>
      </c>
      <c r="Z324" s="166">
        <f t="shared" si="162"/>
        <v>0</v>
      </c>
      <c r="AA324" s="166">
        <f t="shared" si="163"/>
        <v>66.502463054187189</v>
      </c>
      <c r="AB324" s="166">
        <f t="shared" si="164"/>
        <v>33.497536945812804</v>
      </c>
      <c r="AC324" s="33">
        <f t="shared" si="165"/>
        <v>16.748768472906402</v>
      </c>
      <c r="AD324" s="33">
        <f t="shared" si="166"/>
        <v>29.009704433497536</v>
      </c>
    </row>
    <row r="325" spans="16:30" x14ac:dyDescent="0.2">
      <c r="Q325" s="1" t="s">
        <v>43</v>
      </c>
      <c r="R325" s="1">
        <v>1</v>
      </c>
      <c r="S325" s="1">
        <v>0</v>
      </c>
      <c r="T325" s="1">
        <v>0.5</v>
      </c>
      <c r="U325" s="166">
        <f t="shared" si="157"/>
        <v>1.5</v>
      </c>
      <c r="V325" s="166">
        <f t="shared" si="158"/>
        <v>33.333333333333329</v>
      </c>
      <c r="W325" s="166">
        <f t="shared" si="159"/>
        <v>66.666666666666657</v>
      </c>
      <c r="X325" s="166">
        <f t="shared" si="160"/>
        <v>0</v>
      </c>
      <c r="Y325" s="166">
        <f t="shared" si="161"/>
        <v>21333.333333333328</v>
      </c>
      <c r="Z325" s="166">
        <f t="shared" si="162"/>
        <v>15.625000000000004</v>
      </c>
      <c r="AA325" s="166">
        <f t="shared" si="163"/>
        <v>84.375</v>
      </c>
      <c r="AB325" s="166">
        <f t="shared" si="164"/>
        <v>0</v>
      </c>
      <c r="AC325" s="33">
        <f t="shared" si="165"/>
        <v>15.625000000000004</v>
      </c>
      <c r="AD325" s="33">
        <f t="shared" si="166"/>
        <v>0</v>
      </c>
    </row>
    <row r="326" spans="16:30" x14ac:dyDescent="0.2">
      <c r="Q326" s="1" t="s">
        <v>143</v>
      </c>
      <c r="R326" s="1">
        <v>1</v>
      </c>
      <c r="S326" s="1">
        <v>3</v>
      </c>
      <c r="T326" s="1">
        <v>0</v>
      </c>
      <c r="U326" s="166">
        <f t="shared" si="157"/>
        <v>4</v>
      </c>
      <c r="V326" s="166">
        <f t="shared" si="158"/>
        <v>0</v>
      </c>
      <c r="W326" s="166">
        <f t="shared" si="159"/>
        <v>25</v>
      </c>
      <c r="X326" s="166">
        <f t="shared" si="160"/>
        <v>75</v>
      </c>
      <c r="Y326" s="166">
        <f t="shared" si="161"/>
        <v>16950</v>
      </c>
      <c r="Z326" s="166">
        <f t="shared" si="162"/>
        <v>0</v>
      </c>
      <c r="AA326" s="166">
        <f t="shared" si="163"/>
        <v>39.823008849557525</v>
      </c>
      <c r="AB326" s="166">
        <f t="shared" si="164"/>
        <v>60.176991150442483</v>
      </c>
      <c r="AC326" s="33">
        <f t="shared" si="165"/>
        <v>30.088495575221241</v>
      </c>
      <c r="AD326" s="33">
        <f t="shared" si="166"/>
        <v>52.114778761061956</v>
      </c>
    </row>
    <row r="327" spans="16:30" x14ac:dyDescent="0.2">
      <c r="Q327" s="1" t="s">
        <v>44</v>
      </c>
      <c r="R327" s="1">
        <v>1</v>
      </c>
      <c r="S327" s="1">
        <v>0</v>
      </c>
      <c r="T327" s="1">
        <v>1</v>
      </c>
      <c r="U327" s="166">
        <f t="shared" si="157"/>
        <v>2</v>
      </c>
      <c r="V327" s="166">
        <f t="shared" si="158"/>
        <v>50</v>
      </c>
      <c r="W327" s="166">
        <f t="shared" si="159"/>
        <v>50</v>
      </c>
      <c r="X327" s="166">
        <f t="shared" si="160"/>
        <v>0</v>
      </c>
      <c r="Y327" s="166">
        <f t="shared" si="161"/>
        <v>18500</v>
      </c>
      <c r="Z327" s="166">
        <f t="shared" si="162"/>
        <v>27.027027027027028</v>
      </c>
      <c r="AA327" s="166">
        <f t="shared" si="163"/>
        <v>72.972972972972968</v>
      </c>
      <c r="AB327" s="166">
        <f t="shared" si="164"/>
        <v>0</v>
      </c>
      <c r="AC327" s="33">
        <f t="shared" si="165"/>
        <v>27.027027027027028</v>
      </c>
      <c r="AD327" s="33">
        <f t="shared" si="166"/>
        <v>0</v>
      </c>
    </row>
    <row r="328" spans="16:30" x14ac:dyDescent="0.2">
      <c r="Q328" s="1" t="s">
        <v>95</v>
      </c>
      <c r="R328" s="1">
        <v>0</v>
      </c>
      <c r="S328" s="1">
        <v>0</v>
      </c>
      <c r="T328" s="1">
        <v>1</v>
      </c>
      <c r="U328" s="166">
        <f t="shared" si="157"/>
        <v>1</v>
      </c>
      <c r="V328" s="166">
        <f t="shared" si="158"/>
        <v>100</v>
      </c>
      <c r="W328" s="166">
        <f t="shared" si="159"/>
        <v>0</v>
      </c>
      <c r="X328" s="166">
        <f t="shared" si="160"/>
        <v>0</v>
      </c>
      <c r="Y328" s="166">
        <f t="shared" si="161"/>
        <v>10000</v>
      </c>
      <c r="Z328" s="166">
        <f t="shared" si="162"/>
        <v>100</v>
      </c>
      <c r="AA328" s="166">
        <f t="shared" si="163"/>
        <v>0</v>
      </c>
      <c r="AB328" s="166">
        <f t="shared" si="164"/>
        <v>0</v>
      </c>
      <c r="AC328" s="33">
        <f t="shared" si="165"/>
        <v>100</v>
      </c>
      <c r="AD328" s="33">
        <f t="shared" si="166"/>
        <v>0</v>
      </c>
    </row>
    <row r="329" spans="16:30" x14ac:dyDescent="0.2">
      <c r="Q329" s="1" t="s">
        <v>143</v>
      </c>
      <c r="R329" s="1">
        <v>1</v>
      </c>
      <c r="S329" s="1">
        <v>3</v>
      </c>
      <c r="T329" s="1">
        <v>0</v>
      </c>
      <c r="U329" s="166">
        <f>SUM(R329:T329)</f>
        <v>4</v>
      </c>
      <c r="V329" s="166">
        <f>+T329/U329*100</f>
        <v>0</v>
      </c>
      <c r="W329" s="166">
        <f>+R329/U329*100</f>
        <v>25</v>
      </c>
      <c r="X329" s="166">
        <f>+S329/U329*100</f>
        <v>75</v>
      </c>
      <c r="Y329" s="166">
        <f>(W329*270+X329*136+V329*100)</f>
        <v>16950</v>
      </c>
      <c r="Z329" s="166">
        <f>V329*100/Y329*100</f>
        <v>0</v>
      </c>
      <c r="AA329" s="166">
        <f>W329*270/Y329*100</f>
        <v>39.823008849557525</v>
      </c>
      <c r="AB329" s="166">
        <f>X329*136/Y329*100</f>
        <v>60.176991150442483</v>
      </c>
      <c r="AC329" s="33">
        <f>+Z329+AD329/1.73205</f>
        <v>30.088495575221241</v>
      </c>
      <c r="AD329" s="33">
        <f>+AB329*0.866025</f>
        <v>52.114778761061956</v>
      </c>
    </row>
    <row r="330" spans="16:30" x14ac:dyDescent="0.2">
      <c r="P330" s="36" t="s">
        <v>149</v>
      </c>
      <c r="Q330" s="36" t="s">
        <v>144</v>
      </c>
      <c r="R330" s="1">
        <v>0</v>
      </c>
      <c r="S330" s="1">
        <v>1</v>
      </c>
      <c r="T330" s="1">
        <v>1</v>
      </c>
      <c r="U330" s="166">
        <f t="shared" si="157"/>
        <v>2</v>
      </c>
      <c r="V330" s="166">
        <f t="shared" si="158"/>
        <v>50</v>
      </c>
      <c r="W330" s="166">
        <f t="shared" si="159"/>
        <v>0</v>
      </c>
      <c r="X330" s="166">
        <f t="shared" si="160"/>
        <v>50</v>
      </c>
      <c r="Y330" s="166">
        <f t="shared" si="161"/>
        <v>11800</v>
      </c>
      <c r="Z330" s="166">
        <f t="shared" si="162"/>
        <v>42.372881355932201</v>
      </c>
      <c r="AA330" s="166">
        <f t="shared" si="163"/>
        <v>0</v>
      </c>
      <c r="AB330" s="166">
        <f t="shared" si="164"/>
        <v>57.627118644067799</v>
      </c>
      <c r="AC330" s="33">
        <f t="shared" si="165"/>
        <v>71.186440677966104</v>
      </c>
      <c r="AD330" s="33">
        <f t="shared" si="166"/>
        <v>49.906525423728816</v>
      </c>
    </row>
    <row r="331" spans="16:30" x14ac:dyDescent="0.2">
      <c r="V331" s="181">
        <f>'with thaumasite'!V22</f>
        <v>8.118786506017404</v>
      </c>
      <c r="W331" s="181">
        <f>'with thaumasite'!V28</f>
        <v>3.5985635911488436</v>
      </c>
      <c r="X331" s="182">
        <f>'with thaumasite'!V23</f>
        <v>27.051029991567273</v>
      </c>
      <c r="Y331" s="182">
        <f>SUM(V331:X331)</f>
        <v>38.768380088733522</v>
      </c>
      <c r="Z331" s="183">
        <f>V331/$Y$331*100</f>
        <v>20.941773908105084</v>
      </c>
      <c r="AA331" s="183">
        <f>W331/$Y$331*100</f>
        <v>9.2822129346452158</v>
      </c>
      <c r="AB331" s="183">
        <f>X331/$Y$331*100</f>
        <v>69.776013157249693</v>
      </c>
      <c r="AC331" s="184">
        <f>+Z331+AD331/1.73205</f>
        <v>55.829780486729931</v>
      </c>
      <c r="AD331" s="184">
        <f>+AB331*0.866025</f>
        <v>60.427771794507166</v>
      </c>
    </row>
  </sheetData>
  <sheetProtection password="C7DE" sheet="1" objects="1" scenarios="1" selectLockedCells="1"/>
  <conditionalFormatting sqref="B51:F56 I51:M56 P51:T56 W51:AA56 AD51:AH56 B75:AK77 B63:G63 I63:N63 P63:U63 W63:AB63 AD63:AI63 AK69 AU51:AX56 AU57:BB63 AL51:AL69 AU64:AX69 AM69:AP69">
    <cfRule type="cellIs" dxfId="80" priority="87" operator="lessThan">
      <formula>0</formula>
    </cfRule>
  </conditionalFormatting>
  <conditionalFormatting sqref="AY51:BB56">
    <cfRule type="cellIs" dxfId="79" priority="80" operator="lessThan">
      <formula>0</formula>
    </cfRule>
  </conditionalFormatting>
  <conditionalFormatting sqref="G51:G56">
    <cfRule type="cellIs" dxfId="78" priority="85" operator="lessThan">
      <formula>0</formula>
    </cfRule>
  </conditionalFormatting>
  <conditionalFormatting sqref="N51:N56">
    <cfRule type="cellIs" dxfId="77" priority="84" operator="lessThan">
      <formula>0</formula>
    </cfRule>
  </conditionalFormatting>
  <conditionalFormatting sqref="U51:U56">
    <cfRule type="cellIs" dxfId="76" priority="83" operator="lessThan">
      <formula>0</formula>
    </cfRule>
  </conditionalFormatting>
  <conditionalFormatting sqref="AB51:AB56">
    <cfRule type="cellIs" dxfId="75" priority="82" operator="lessThan">
      <formula>0</formula>
    </cfRule>
  </conditionalFormatting>
  <conditionalFormatting sqref="AI51:AI56">
    <cfRule type="cellIs" dxfId="74" priority="81" operator="lessThan">
      <formula>0</formula>
    </cfRule>
  </conditionalFormatting>
  <conditionalFormatting sqref="B63:G63 I63:N63 P63:U63 W63:AB63 AD63:AI63 AL63 AU63:BB63">
    <cfRule type="cellIs" dxfId="73" priority="79" operator="greaterThan">
      <formula>0</formula>
    </cfRule>
  </conditionalFormatting>
  <conditionalFormatting sqref="B64:F69 I64:M69 P64:T69 W64:AA69 AD64:AH69">
    <cfRule type="cellIs" dxfId="72" priority="78" operator="lessThan">
      <formula>0</formula>
    </cfRule>
  </conditionalFormatting>
  <conditionalFormatting sqref="AY64:BB69 BB51:BB63">
    <cfRule type="cellIs" dxfId="71" priority="72" operator="lessThan">
      <formula>0</formula>
    </cfRule>
  </conditionalFormatting>
  <conditionalFormatting sqref="G64:G69">
    <cfRule type="cellIs" dxfId="70" priority="77" operator="lessThan">
      <formula>0</formula>
    </cfRule>
  </conditionalFormatting>
  <conditionalFormatting sqref="N64:N69">
    <cfRule type="cellIs" dxfId="69" priority="76" operator="lessThan">
      <formula>0</formula>
    </cfRule>
  </conditionalFormatting>
  <conditionalFormatting sqref="U64:U69">
    <cfRule type="cellIs" dxfId="68" priority="75" operator="lessThan">
      <formula>0</formula>
    </cfRule>
  </conditionalFormatting>
  <conditionalFormatting sqref="AB64:AB69">
    <cfRule type="cellIs" dxfId="67" priority="74" operator="lessThan">
      <formula>0</formula>
    </cfRule>
  </conditionalFormatting>
  <conditionalFormatting sqref="AI64:AI69">
    <cfRule type="cellIs" dxfId="66" priority="73" operator="lessThan">
      <formula>0</formula>
    </cfRule>
  </conditionalFormatting>
  <conditionalFormatting sqref="H63">
    <cfRule type="cellIs" dxfId="65" priority="71" operator="lessThan">
      <formula>0</formula>
    </cfRule>
  </conditionalFormatting>
  <conditionalFormatting sqref="H51:H56">
    <cfRule type="cellIs" dxfId="64" priority="70" operator="lessThan">
      <formula>0</formula>
    </cfRule>
  </conditionalFormatting>
  <conditionalFormatting sqref="H63">
    <cfRule type="cellIs" dxfId="63" priority="69" operator="greaterThan">
      <formula>0</formula>
    </cfRule>
  </conditionalFormatting>
  <conditionalFormatting sqref="H64:H69">
    <cfRule type="cellIs" dxfId="62" priority="68" operator="lessThan">
      <formula>0</formula>
    </cfRule>
  </conditionalFormatting>
  <conditionalFormatting sqref="AJ51:AJ52 AJ54:AJ56">
    <cfRule type="cellIs" dxfId="61" priority="51" operator="lessThan">
      <formula>0</formula>
    </cfRule>
  </conditionalFormatting>
  <conditionalFormatting sqref="AJ53">
    <cfRule type="cellIs" dxfId="60" priority="48" operator="lessThan">
      <formula>0</formula>
    </cfRule>
  </conditionalFormatting>
  <conditionalFormatting sqref="O63">
    <cfRule type="cellIs" dxfId="59" priority="67" operator="lessThan">
      <formula>0</formula>
    </cfRule>
  </conditionalFormatting>
  <conditionalFormatting sqref="O51:O52 O54:O56">
    <cfRule type="cellIs" dxfId="58" priority="66" operator="lessThan">
      <formula>0</formula>
    </cfRule>
  </conditionalFormatting>
  <conditionalFormatting sqref="O63">
    <cfRule type="cellIs" dxfId="57" priority="65" operator="greaterThan">
      <formula>0</formula>
    </cfRule>
  </conditionalFormatting>
  <conditionalFormatting sqref="O64:O69">
    <cfRule type="cellIs" dxfId="56" priority="64" operator="lessThan">
      <formula>0</formula>
    </cfRule>
  </conditionalFormatting>
  <conditionalFormatting sqref="O53">
    <cfRule type="cellIs" dxfId="55" priority="63" operator="lessThan">
      <formula>0</formula>
    </cfRule>
  </conditionalFormatting>
  <conditionalFormatting sqref="V63">
    <cfRule type="cellIs" dxfId="54" priority="62" operator="lessThan">
      <formula>0</formula>
    </cfRule>
  </conditionalFormatting>
  <conditionalFormatting sqref="V51:V52 V54:V56">
    <cfRule type="cellIs" dxfId="53" priority="61" operator="lessThan">
      <formula>0</formula>
    </cfRule>
  </conditionalFormatting>
  <conditionalFormatting sqref="V63">
    <cfRule type="cellIs" dxfId="52" priority="60" operator="greaterThan">
      <formula>0</formula>
    </cfRule>
  </conditionalFormatting>
  <conditionalFormatting sqref="V64:V69">
    <cfRule type="cellIs" dxfId="51" priority="59" operator="lessThan">
      <formula>0</formula>
    </cfRule>
  </conditionalFormatting>
  <conditionalFormatting sqref="V53">
    <cfRule type="cellIs" dxfId="50" priority="58" operator="lessThan">
      <formula>0</formula>
    </cfRule>
  </conditionalFormatting>
  <conditionalFormatting sqref="AC63">
    <cfRule type="cellIs" dxfId="49" priority="57" operator="lessThan">
      <formula>0</formula>
    </cfRule>
  </conditionalFormatting>
  <conditionalFormatting sqref="AC51:AC52 AC54:AC56">
    <cfRule type="cellIs" dxfId="48" priority="56" operator="lessThan">
      <formula>0</formula>
    </cfRule>
  </conditionalFormatting>
  <conditionalFormatting sqref="AC63">
    <cfRule type="cellIs" dxfId="47" priority="55" operator="greaterThan">
      <formula>0</formula>
    </cfRule>
  </conditionalFormatting>
  <conditionalFormatting sqref="AC64:AC69">
    <cfRule type="cellIs" dxfId="46" priority="54" operator="lessThan">
      <formula>0</formula>
    </cfRule>
  </conditionalFormatting>
  <conditionalFormatting sqref="AC53">
    <cfRule type="cellIs" dxfId="45" priority="53" operator="lessThan">
      <formula>0</formula>
    </cfRule>
  </conditionalFormatting>
  <conditionalFormatting sqref="AJ63">
    <cfRule type="cellIs" dxfId="44" priority="52" operator="lessThan">
      <formula>0</formula>
    </cfRule>
  </conditionalFormatting>
  <conditionalFormatting sqref="AJ63">
    <cfRule type="cellIs" dxfId="43" priority="50" operator="greaterThan">
      <formula>0</formula>
    </cfRule>
  </conditionalFormatting>
  <conditionalFormatting sqref="AJ64:AJ69">
    <cfRule type="cellIs" dxfId="42" priority="49" operator="lessThan">
      <formula>0</formula>
    </cfRule>
  </conditionalFormatting>
  <conditionalFormatting sqref="BC51:BG56 BC63:BK63">
    <cfRule type="cellIs" dxfId="41" priority="47" operator="lessThan">
      <formula>0</formula>
    </cfRule>
  </conditionalFormatting>
  <conditionalFormatting sqref="BC57:BK62">
    <cfRule type="cellIs" dxfId="40" priority="46" operator="lessThan">
      <formula>0</formula>
    </cfRule>
  </conditionalFormatting>
  <conditionalFormatting sqref="BH51:BK56">
    <cfRule type="cellIs" dxfId="39" priority="45" operator="lessThan">
      <formula>0</formula>
    </cfRule>
  </conditionalFormatting>
  <conditionalFormatting sqref="BC63:BK63">
    <cfRule type="cellIs" dxfId="38" priority="44" operator="greaterThan">
      <formula>0</formula>
    </cfRule>
  </conditionalFormatting>
  <conditionalFormatting sqref="BC64:BG69">
    <cfRule type="cellIs" dxfId="37" priority="43" operator="lessThan">
      <formula>0</formula>
    </cfRule>
  </conditionalFormatting>
  <conditionalFormatting sqref="BH64:BK69 BK51:BK63">
    <cfRule type="cellIs" dxfId="36" priority="42" operator="lessThan">
      <formula>0</formula>
    </cfRule>
  </conditionalFormatting>
  <conditionalFormatting sqref="B57:G62 I57:N62 P57:U62 W57:AB62">
    <cfRule type="cellIs" dxfId="35" priority="41" operator="lessThan">
      <formula>0</formula>
    </cfRule>
  </conditionalFormatting>
  <conditionalFormatting sqref="AD57:AI62">
    <cfRule type="cellIs" dxfId="34" priority="40" operator="lessThan">
      <formula>0</formula>
    </cfRule>
  </conditionalFormatting>
  <conditionalFormatting sqref="H57:H62">
    <cfRule type="cellIs" dxfId="33" priority="39" operator="lessThan">
      <formula>0</formula>
    </cfRule>
  </conditionalFormatting>
  <conditionalFormatting sqref="O57:O62">
    <cfRule type="cellIs" dxfId="32" priority="38" operator="lessThan">
      <formula>0</formula>
    </cfRule>
  </conditionalFormatting>
  <conditionalFormatting sqref="V57:V62">
    <cfRule type="cellIs" dxfId="31" priority="37" operator="lessThan">
      <formula>0</formula>
    </cfRule>
  </conditionalFormatting>
  <conditionalFormatting sqref="AC57:AC62">
    <cfRule type="cellIs" dxfId="30" priority="36" operator="lessThan">
      <formula>0</formula>
    </cfRule>
  </conditionalFormatting>
  <conditionalFormatting sqref="AJ57:AJ62">
    <cfRule type="cellIs" dxfId="29" priority="35" operator="lessThan">
      <formula>0</formula>
    </cfRule>
  </conditionalFormatting>
  <conditionalFormatting sqref="AN51:AN56">
    <cfRule type="cellIs" dxfId="28" priority="18" operator="lessThan">
      <formula>0</formula>
    </cfRule>
  </conditionalFormatting>
  <conditionalFormatting sqref="AK64:AK68">
    <cfRule type="cellIs" dxfId="27" priority="10" operator="lessThan">
      <formula>0</formula>
    </cfRule>
  </conditionalFormatting>
  <conditionalFormatting sqref="AN64:AN68">
    <cfRule type="cellIs" dxfId="26" priority="8" operator="lessThan">
      <formula>0</formula>
    </cfRule>
  </conditionalFormatting>
  <conditionalFormatting sqref="AO64:AO68">
    <cfRule type="cellIs" dxfId="25" priority="7" operator="lessThan">
      <formula>0</formula>
    </cfRule>
  </conditionalFormatting>
  <conditionalFormatting sqref="AQ57:AT63">
    <cfRule type="cellIs" dxfId="24" priority="29" operator="lessThan">
      <formula>0</formula>
    </cfRule>
  </conditionalFormatting>
  <conditionalFormatting sqref="AQ51:AT56">
    <cfRule type="cellIs" dxfId="23" priority="28" operator="lessThan">
      <formula>0</formula>
    </cfRule>
  </conditionalFormatting>
  <conditionalFormatting sqref="AQ63:AT63">
    <cfRule type="cellIs" dxfId="22" priority="27" operator="greaterThan">
      <formula>0</formula>
    </cfRule>
  </conditionalFormatting>
  <conditionalFormatting sqref="AQ64:AQ69">
    <cfRule type="cellIs" dxfId="21" priority="26" operator="lessThan">
      <formula>0</formula>
    </cfRule>
  </conditionalFormatting>
  <conditionalFormatting sqref="AP57:AP63">
    <cfRule type="cellIs" dxfId="20" priority="25" operator="lessThan">
      <formula>0</formula>
    </cfRule>
  </conditionalFormatting>
  <conditionalFormatting sqref="AP51:AP56">
    <cfRule type="cellIs" dxfId="19" priority="24" operator="lessThan">
      <formula>0</formula>
    </cfRule>
  </conditionalFormatting>
  <conditionalFormatting sqref="AP63">
    <cfRule type="cellIs" dxfId="18" priority="23" operator="greaterThan">
      <formula>0</formula>
    </cfRule>
  </conditionalFormatting>
  <conditionalFormatting sqref="AO51:AO56">
    <cfRule type="cellIs" dxfId="17" priority="21" operator="lessThan">
      <formula>0</formula>
    </cfRule>
  </conditionalFormatting>
  <conditionalFormatting sqref="AO57:AO63">
    <cfRule type="cellIs" dxfId="16" priority="22" operator="lessThan">
      <formula>0</formula>
    </cfRule>
  </conditionalFormatting>
  <conditionalFormatting sqref="AO63">
    <cfRule type="cellIs" dxfId="15" priority="20" operator="greaterThan">
      <formula>0</formula>
    </cfRule>
  </conditionalFormatting>
  <conditionalFormatting sqref="AN57:AN63">
    <cfRule type="cellIs" dxfId="14" priority="19" operator="lessThan">
      <formula>0</formula>
    </cfRule>
  </conditionalFormatting>
  <conditionalFormatting sqref="AN63">
    <cfRule type="cellIs" dxfId="13" priority="17" operator="greaterThan">
      <formula>0</formula>
    </cfRule>
  </conditionalFormatting>
  <conditionalFormatting sqref="AM57:AM63">
    <cfRule type="cellIs" dxfId="12" priority="16" operator="lessThan">
      <formula>0</formula>
    </cfRule>
  </conditionalFormatting>
  <conditionalFormatting sqref="AM51:AM56">
    <cfRule type="cellIs" dxfId="11" priority="15" operator="lessThan">
      <formula>0</formula>
    </cfRule>
  </conditionalFormatting>
  <conditionalFormatting sqref="AM63">
    <cfRule type="cellIs" dxfId="10" priority="14" operator="greaterThan">
      <formula>0</formula>
    </cfRule>
  </conditionalFormatting>
  <conditionalFormatting sqref="AK57:AK63">
    <cfRule type="cellIs" dxfId="9" priority="13" operator="lessThan">
      <formula>0</formula>
    </cfRule>
  </conditionalFormatting>
  <conditionalFormatting sqref="AK51:AK56">
    <cfRule type="cellIs" dxfId="8" priority="12" operator="lessThan">
      <formula>0</formula>
    </cfRule>
  </conditionalFormatting>
  <conditionalFormatting sqref="AK63">
    <cfRule type="cellIs" dxfId="7" priority="11" operator="greaterThan">
      <formula>0</formula>
    </cfRule>
  </conditionalFormatting>
  <conditionalFormatting sqref="AM64:AM68">
    <cfRule type="cellIs" dxfId="6" priority="9" operator="lessThan">
      <formula>0</formula>
    </cfRule>
  </conditionalFormatting>
  <conditionalFormatting sqref="AP64:AP68">
    <cfRule type="cellIs" dxfId="5" priority="6" operator="lessThan">
      <formula>0</formula>
    </cfRule>
  </conditionalFormatting>
  <conditionalFormatting sqref="AR64:AR68">
    <cfRule type="cellIs" dxfId="4" priority="5" operator="lessThan">
      <formula>0</formula>
    </cfRule>
  </conditionalFormatting>
  <conditionalFormatting sqref="AR69">
    <cfRule type="cellIs" dxfId="3" priority="4" operator="lessThan">
      <formula>0</formula>
    </cfRule>
  </conditionalFormatting>
  <conditionalFormatting sqref="AS64:AS68">
    <cfRule type="cellIs" dxfId="2" priority="3" operator="lessThan">
      <formula>0</formula>
    </cfRule>
  </conditionalFormatting>
  <conditionalFormatting sqref="AT64:AT68">
    <cfRule type="cellIs" dxfId="1" priority="2" operator="lessThan">
      <formula>0</formula>
    </cfRule>
  </conditionalFormatting>
  <conditionalFormatting sqref="AS69:AT69">
    <cfRule type="cellIs" dxfId="0" priority="1" operator="lessThan">
      <formula>0</formula>
    </cfRule>
  </conditionalFormatting>
  <pageMargins left="0.25" right="0.25" top="0.75" bottom="0.75" header="0.3" footer="0.3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32</vt:i4>
      </vt:variant>
    </vt:vector>
  </HeadingPairs>
  <TitlesOfParts>
    <vt:vector size="34" baseType="lpstr">
      <vt:lpstr>without thaumasite</vt:lpstr>
      <vt:lpstr>with thaumasite</vt:lpstr>
      <vt:lpstr>'with thaumasite'!Al</vt:lpstr>
      <vt:lpstr>'without thaumasite'!Al</vt:lpstr>
      <vt:lpstr>'with thaumasite'!Druckbereich</vt:lpstr>
      <vt:lpstr>'without thaumasite'!Druckbereich</vt:lpstr>
      <vt:lpstr>'with thaumasite'!mAl</vt:lpstr>
      <vt:lpstr>'without thaumasite'!mAl</vt:lpstr>
      <vt:lpstr>'with thaumasite'!mC</vt:lpstr>
      <vt:lpstr>'without thaumasite'!mC</vt:lpstr>
      <vt:lpstr>'with thaumasite'!mCa</vt:lpstr>
      <vt:lpstr>'without thaumasite'!mCa</vt:lpstr>
      <vt:lpstr>'with thaumasite'!mFe</vt:lpstr>
      <vt:lpstr>'without thaumasite'!mFe</vt:lpstr>
      <vt:lpstr>'with thaumasite'!mH</vt:lpstr>
      <vt:lpstr>'without thaumasite'!mH</vt:lpstr>
      <vt:lpstr>'with thaumasite'!mK</vt:lpstr>
      <vt:lpstr>'without thaumasite'!mK</vt:lpstr>
      <vt:lpstr>'with thaumasite'!mLi</vt:lpstr>
      <vt:lpstr>'without thaumasite'!mLi</vt:lpstr>
      <vt:lpstr>'with thaumasite'!mMg</vt:lpstr>
      <vt:lpstr>'without thaumasite'!mMg</vt:lpstr>
      <vt:lpstr>'with thaumasite'!mN</vt:lpstr>
      <vt:lpstr>'without thaumasite'!mN</vt:lpstr>
      <vt:lpstr>'with thaumasite'!mNa</vt:lpstr>
      <vt:lpstr>'without thaumasite'!mNa</vt:lpstr>
      <vt:lpstr>'with thaumasite'!mO</vt:lpstr>
      <vt:lpstr>'without thaumasite'!mO</vt:lpstr>
      <vt:lpstr>'with thaumasite'!mS</vt:lpstr>
      <vt:lpstr>'without thaumasite'!mS</vt:lpstr>
      <vt:lpstr>'with thaumasite'!mSi</vt:lpstr>
      <vt:lpstr>'without thaumasite'!mSi</vt:lpstr>
      <vt:lpstr>'with thaumasite'!mSr</vt:lpstr>
      <vt:lpstr>'without thaumasite'!mSr</vt:lpstr>
    </vt:vector>
  </TitlesOfParts>
  <Company>Empa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</dc:creator>
  <cp:lastModifiedBy>B</cp:lastModifiedBy>
  <dcterms:created xsi:type="dcterms:W3CDTF">2016-08-08T14:41:40Z</dcterms:created>
  <dcterms:modified xsi:type="dcterms:W3CDTF">2016-08-12T06:53:31Z</dcterms:modified>
</cp:coreProperties>
</file>